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2.xml" ContentType="application/vnd.openxmlformats-officedocument.drawingml.chartshapes+xml"/>
  <Override PartName="/xl/charts/chart3.xml" ContentType="application/vnd.openxmlformats-officedocument.drawingml.chart+xml"/>
  <Override PartName="/xl/charts/chart4.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ml.chartshapes+xml"/>
  <Override PartName="/xl/drawings/drawing4.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drawings/drawing5.xml" ContentType="application/vnd.openxmlformats-officedocument.drawingml.chartshapes+xml"/>
  <Override PartName="/xl/charts/chart7.xml" ContentType="application/vnd.openxmlformats-officedocument.drawingml.chart+xml"/>
  <Override PartName="/xl/charts/chart8.xml" ContentType="application/vnd.openxmlformats-officedocument.drawingml.chart+xml"/>
  <Override PartName="/xl/charts/style2.xml" ContentType="application/vnd.ms-office.chartstyle+xml"/>
  <Override PartName="/xl/charts/colors2.xml" ContentType="application/vnd.ms-office.chartcolorstyle+xml"/>
  <Override PartName="/xl/drawings/drawing6.xml" ContentType="application/vnd.openxmlformats-officedocument.drawingml.chartshapes+xml"/>
  <Override PartName="/xl/drawings/drawing7.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drawings/drawing8.xml" ContentType="application/vnd.openxmlformats-officedocument.drawingml.chartshapes+xml"/>
  <Override PartName="/xl/charts/chart11.xml" ContentType="application/vnd.openxmlformats-officedocument.drawingml.chart+xml"/>
  <Override PartName="/xl/charts/chart12.xml" ContentType="application/vnd.openxmlformats-officedocument.drawingml.chart+xml"/>
  <Override PartName="/xl/drawings/drawing9.xml" ContentType="application/vnd.openxmlformats-officedocument.drawingml.chartshapes+xml"/>
  <Override PartName="/xl/drawings/drawing10.xml" ContentType="application/vnd.openxmlformats-officedocument.drawing+xml"/>
  <Override PartName="/xl/charts/chart13.xml" ContentType="application/vnd.openxmlformats-officedocument.drawingml.chart+xml"/>
  <Override PartName="/xl/charts/chart14.xml" ContentType="application/vnd.openxmlformats-officedocument.drawingml.chart+xml"/>
  <Override PartName="/xl/drawings/drawing11.xml" ContentType="application/vnd.openxmlformats-officedocument.drawingml.chartshapes+xml"/>
  <Override PartName="/xl/charts/chart15.xml" ContentType="application/vnd.openxmlformats-officedocument.drawingml.chart+xml"/>
  <Override PartName="/xl/charts/chart16.xml" ContentType="application/vnd.openxmlformats-officedocument.drawingml.chart+xml"/>
  <Override PartName="/xl/drawings/drawing12.xml" ContentType="application/vnd.openxmlformats-officedocument.drawingml.chartshapes+xml"/>
  <Override PartName="/xl/drawings/drawing13.xml" ContentType="application/vnd.openxmlformats-officedocument.drawing+xml"/>
  <Override PartName="/xl/charts/chart17.xml" ContentType="application/vnd.openxmlformats-officedocument.drawingml.chart+xml"/>
  <Override PartName="/xl/charts/chart18.xml" ContentType="application/vnd.openxmlformats-officedocument.drawingml.chart+xml"/>
  <Override PartName="/xl/drawings/drawing14.xml" ContentType="application/vnd.openxmlformats-officedocument.drawingml.chartshapes+xml"/>
  <Override PartName="/xl/charts/chart19.xml" ContentType="application/vnd.openxmlformats-officedocument.drawingml.chart+xml"/>
  <Override PartName="/xl/charts/chart20.xml" ContentType="application/vnd.openxmlformats-officedocument.drawingml.chart+xml"/>
  <Override PartName="/xl/drawings/drawing15.xml" ContentType="application/vnd.openxmlformats-officedocument.drawingml.chartshapes+xml"/>
  <Override PartName="/xl/drawings/drawing16.xml" ContentType="application/vnd.openxmlformats-officedocument.drawing+xml"/>
  <Override PartName="/xl/charts/chart21.xml" ContentType="application/vnd.openxmlformats-officedocument.drawingml.chart+xml"/>
  <Override PartName="/xl/charts/chart22.xml" ContentType="application/vnd.openxmlformats-officedocument.drawingml.chart+xml"/>
  <Override PartName="/xl/drawings/drawing17.xml" ContentType="application/vnd.openxmlformats-officedocument.drawingml.chartshapes+xml"/>
  <Override PartName="/xl/charts/chart23.xml" ContentType="application/vnd.openxmlformats-officedocument.drawingml.chart+xml"/>
  <Override PartName="/xl/charts/chart24.xml" ContentType="application/vnd.openxmlformats-officedocument.drawingml.chart+xml"/>
  <Override PartName="/xl/drawings/drawing18.xml" ContentType="application/vnd.openxmlformats-officedocument.drawingml.chartshapes+xml"/>
  <Override PartName="/xl/drawings/drawing19.xml" ContentType="application/vnd.openxmlformats-officedocument.drawing+xml"/>
  <Override PartName="/xl/charts/chart25.xml" ContentType="application/vnd.openxmlformats-officedocument.drawingml.chart+xml"/>
  <Override PartName="/xl/charts/chart26.xml" ContentType="application/vnd.openxmlformats-officedocument.drawingml.chart+xml"/>
  <Override PartName="/xl/drawings/drawing20.xml" ContentType="application/vnd.openxmlformats-officedocument.drawingml.chartshapes+xml"/>
  <Override PartName="/xl/charts/chart27.xml" ContentType="application/vnd.openxmlformats-officedocument.drawingml.chart+xml"/>
  <Override PartName="/xl/charts/chart28.xml" ContentType="application/vnd.openxmlformats-officedocument.drawingml.chart+xml"/>
  <Override PartName="/xl/drawings/drawing21.xml" ContentType="application/vnd.openxmlformats-officedocument.drawingml.chartshapes+xml"/>
  <Override PartName="/xl/drawings/drawing22.xml" ContentType="application/vnd.openxmlformats-officedocument.drawing+xml"/>
  <Override PartName="/xl/charts/chart29.xml" ContentType="application/vnd.openxmlformats-officedocument.drawingml.chart+xml"/>
  <Override PartName="/xl/charts/chart30.xml" ContentType="application/vnd.openxmlformats-officedocument.drawingml.chart+xml"/>
  <Override PartName="/xl/drawings/drawing23.xml" ContentType="application/vnd.openxmlformats-officedocument.drawingml.chartshapes+xml"/>
  <Override PartName="/xl/charts/chart31.xml" ContentType="application/vnd.openxmlformats-officedocument.drawingml.chart+xml"/>
  <Override PartName="/xl/charts/chart32.xml" ContentType="application/vnd.openxmlformats-officedocument.drawingml.chart+xml"/>
  <Override PartName="/xl/drawings/drawing24.xml" ContentType="application/vnd.openxmlformats-officedocument.drawingml.chartshapes+xml"/>
  <Override PartName="/xl/drawings/drawing25.xml" ContentType="application/vnd.openxmlformats-officedocument.drawing+xml"/>
  <Override PartName="/xl/charts/chart33.xml" ContentType="application/vnd.openxmlformats-officedocument.drawingml.chart+xml"/>
  <Override PartName="/xl/charts/chart34.xml" ContentType="application/vnd.openxmlformats-officedocument.drawingml.chart+xml"/>
  <Override PartName="/xl/drawings/drawing26.xml" ContentType="application/vnd.openxmlformats-officedocument.drawingml.chartshapes+xml"/>
  <Override PartName="/xl/charts/chart35.xml" ContentType="application/vnd.openxmlformats-officedocument.drawingml.chart+xml"/>
  <Override PartName="/xl/charts/chart36.xml" ContentType="application/vnd.openxmlformats-officedocument.drawingml.chart+xml"/>
  <Override PartName="/xl/drawings/drawing27.xml" ContentType="application/vnd.openxmlformats-officedocument.drawingml.chartshapes+xml"/>
  <Override PartName="/xl/drawings/drawing28.xml" ContentType="application/vnd.openxmlformats-officedocument.drawing+xml"/>
  <Override PartName="/xl/charts/chart37.xml" ContentType="application/vnd.openxmlformats-officedocument.drawingml.chart+xml"/>
  <Override PartName="/xl/drawings/drawing29.xml" ContentType="application/vnd.openxmlformats-officedocument.drawingml.chartshapes+xml"/>
  <Override PartName="/xl/charts/chart38.xml" ContentType="application/vnd.openxmlformats-officedocument.drawingml.chart+xml"/>
  <Override PartName="/xl/drawings/drawing30.xml" ContentType="application/vnd.openxmlformats-officedocument.drawingml.chartshapes+xml"/>
  <Override PartName="/xl/charts/chart39.xml" ContentType="application/vnd.openxmlformats-officedocument.drawingml.chart+xml"/>
  <Override PartName="/xl/charts/chart40.xml" ContentType="application/vnd.openxmlformats-officedocument.drawingml.chart+xml"/>
  <Override PartName="/xl/drawings/drawing31.xml" ContentType="application/vnd.openxmlformats-officedocument.drawingml.chartshapes+xml"/>
  <Override PartName="/xl/drawings/drawing32.xml" ContentType="application/vnd.openxmlformats-officedocument.drawing+xml"/>
  <Override PartName="/xl/charts/chart41.xml" ContentType="application/vnd.openxmlformats-officedocument.drawingml.chart+xml"/>
  <Override PartName="/xl/charts/chart42.xml" ContentType="application/vnd.openxmlformats-officedocument.drawingml.chart+xml"/>
  <Override PartName="/xl/drawings/drawing33.xml" ContentType="application/vnd.openxmlformats-officedocument.drawingml.chartshapes+xml"/>
  <Override PartName="/xl/charts/chart43.xml" ContentType="application/vnd.openxmlformats-officedocument.drawingml.chart+xml"/>
  <Override PartName="/xl/charts/chart44.xml" ContentType="application/vnd.openxmlformats-officedocument.drawingml.chart+xml"/>
  <Override PartName="/xl/drawings/drawing34.xml" ContentType="application/vnd.openxmlformats-officedocument.drawingml.chartshapes+xml"/>
  <Override PartName="/xl/drawings/drawing35.xml" ContentType="application/vnd.openxmlformats-officedocument.drawing+xml"/>
  <Override PartName="/xl/charts/chart45.xml" ContentType="application/vnd.openxmlformats-officedocument.drawingml.chart+xml"/>
  <Override PartName="/xl/charts/chart46.xml" ContentType="application/vnd.openxmlformats-officedocument.drawingml.chart+xml"/>
  <Override PartName="/xl/drawings/drawing36.xml" ContentType="application/vnd.openxmlformats-officedocument.drawingml.chartshapes+xml"/>
  <Override PartName="/xl/charts/chart47.xml" ContentType="application/vnd.openxmlformats-officedocument.drawingml.chart+xml"/>
  <Override PartName="/xl/charts/chart48.xml" ContentType="application/vnd.openxmlformats-officedocument.drawingml.chart+xml"/>
  <Override PartName="/xl/drawings/drawing37.xml" ContentType="application/vnd.openxmlformats-officedocument.drawingml.chartshapes+xml"/>
  <Override PartName="/xl/drawings/drawing38.xml" ContentType="application/vnd.openxmlformats-officedocument.drawing+xml"/>
  <Override PartName="/xl/charts/chart49.xml" ContentType="application/vnd.openxmlformats-officedocument.drawingml.chart+xml"/>
  <Override PartName="/xl/drawings/drawing39.xml" ContentType="application/vnd.openxmlformats-officedocument.drawingml.chartshapes+xml"/>
  <Override PartName="/xl/charts/chart50.xml" ContentType="application/vnd.openxmlformats-officedocument.drawingml.chart+xml"/>
  <Override PartName="/xl/drawings/drawing40.xml" ContentType="application/vnd.openxmlformats-officedocument.drawingml.chartshapes+xml"/>
  <Override PartName="/xl/charts/chart51.xml" ContentType="application/vnd.openxmlformats-officedocument.drawingml.chart+xml"/>
  <Override PartName="/xl/charts/chart52.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1.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608"/>
  <workbookPr autoCompressPictures="0"/>
  <mc:AlternateContent xmlns:mc="http://schemas.openxmlformats.org/markup-compatibility/2006">
    <mc:Choice Requires="x15">
      <x15ac:absPath xmlns:x15ac="http://schemas.microsoft.com/office/spreadsheetml/2010/11/ac" url="/Users/lwanchoo/Documents/files/Annual_reports/FY25AnnualReport/"/>
    </mc:Choice>
  </mc:AlternateContent>
  <xr:revisionPtr revIDLastSave="0" documentId="13_ncr:1_{16A8A5C3-F264-A542-A66F-43D02FBA5935}" xr6:coauthVersionLast="47" xr6:coauthVersionMax="47" xr10:uidLastSave="{00000000-0000-0000-0000-000000000000}"/>
  <bookViews>
    <workbookView xWindow="-50680" yWindow="-2260" windowWidth="27700" windowHeight="26060" tabRatio="870" activeTab="14" xr2:uid="{00000000-000D-0000-FFFF-FFFF00000000}"/>
  </bookViews>
  <sheets>
    <sheet name="Cover" sheetId="55" r:id="rId1"/>
    <sheet name="Introduction" sheetId="56" r:id="rId2"/>
    <sheet name="ASDC" sheetId="43" r:id="rId3"/>
    <sheet name="ASF" sheetId="44" r:id="rId4"/>
    <sheet name="CDDIS" sheetId="45" r:id="rId5"/>
    <sheet name="GESDISC" sheetId="46" r:id="rId6"/>
    <sheet name="GHRC" sheetId="47" r:id="rId7"/>
    <sheet name="LAADS" sheetId="49" r:id="rId8"/>
    <sheet name="LPDAAC" sheetId="48" r:id="rId9"/>
    <sheet name="NSIDC" sheetId="50" r:id="rId10"/>
    <sheet name="ORNL" sheetId="52" r:id="rId11"/>
    <sheet name="OBDAAC" sheetId="51" r:id="rId12"/>
    <sheet name="PODAAC" sheetId="53" r:id="rId13"/>
    <sheet name="SEDAC" sheetId="54" r:id="rId14"/>
    <sheet name="LANCE" sheetId="59" r:id="rId15"/>
    <sheet name="data" sheetId="41" r:id="rId16"/>
    <sheet name="Summary_data" sheetId="39" r:id="rId17"/>
    <sheet name="L_data" sheetId="57" r:id="rId18"/>
    <sheet name="L_Summary_data" sheetId="58" r:id="rId19"/>
  </sheets>
  <definedNames>
    <definedName name="_xlnm.Print_Area" localSheetId="2">ASDC!$A$1:$C$16</definedName>
    <definedName name="_xlnm.Print_Area" localSheetId="3">ASF!$A$1:$C$16</definedName>
    <definedName name="_xlnm.Print_Area" localSheetId="4">CDDIS!$A$1:$C$16</definedName>
    <definedName name="_xlnm.Print_Area" localSheetId="5">GESDISC!$A$1:$C$16</definedName>
    <definedName name="_xlnm.Print_Area" localSheetId="6">GHRC!$A$1:$C$16</definedName>
    <definedName name="_xlnm.Print_Area" localSheetId="18">L_Summary_data!#REF!</definedName>
    <definedName name="_xlnm.Print_Area" localSheetId="7">LAADS!$A$1:$C$16</definedName>
    <definedName name="_xlnm.Print_Area" localSheetId="14">LANCE!$A$1:$C$15</definedName>
    <definedName name="_xlnm.Print_Area" localSheetId="8">LPDAAC!$A$1:$C$16</definedName>
    <definedName name="_xlnm.Print_Area" localSheetId="9">NSIDC!$A$1:$K$34</definedName>
    <definedName name="_xlnm.Print_Area" localSheetId="11">OBDAAC!$A$1:$C$14</definedName>
    <definedName name="_xlnm.Print_Area" localSheetId="10">ORNL!$A$1:$C$16</definedName>
    <definedName name="_xlnm.Print_Area" localSheetId="12">PODAAC!$A$1:$C$16</definedName>
    <definedName name="_xlnm.Print_Area" localSheetId="13">SEDAC!$A$1:$C$16</definedName>
    <definedName name="_xlnm.Print_Area" localSheetId="16">Summary_data!#REF!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2" i="59" l="1"/>
  <c r="C11" i="59"/>
  <c r="I9" i="49"/>
  <c r="G9" i="49"/>
  <c r="K249" i="41" l="1"/>
  <c r="K250" i="41"/>
  <c r="K251" i="41"/>
  <c r="K252" i="41"/>
  <c r="K253" i="41"/>
  <c r="K254" i="41"/>
  <c r="K255" i="41"/>
  <c r="K256" i="41"/>
  <c r="K257" i="41"/>
  <c r="K258" i="41"/>
  <c r="K248" i="41"/>
  <c r="E249" i="41"/>
  <c r="E250" i="41"/>
  <c r="E251" i="41"/>
  <c r="E252" i="41"/>
  <c r="E253" i="41"/>
  <c r="E254" i="41"/>
  <c r="E255" i="41"/>
  <c r="E256" i="41"/>
  <c r="E257" i="41"/>
  <c r="E258" i="41"/>
  <c r="E248" i="41"/>
  <c r="E232" i="41"/>
  <c r="E233" i="41"/>
  <c r="E234" i="41"/>
  <c r="E235" i="41"/>
  <c r="E236" i="41"/>
  <c r="E237" i="41"/>
  <c r="E238" i="41"/>
  <c r="E239" i="41"/>
  <c r="E240" i="41"/>
  <c r="E241" i="41"/>
  <c r="E242" i="41"/>
  <c r="E231" i="41"/>
  <c r="E225" i="41"/>
  <c r="I5" i="39" l="1"/>
  <c r="I6" i="39"/>
  <c r="I7" i="39"/>
  <c r="I8" i="39"/>
  <c r="I9" i="39"/>
  <c r="I10" i="39"/>
  <c r="I11" i="39"/>
  <c r="I12" i="39"/>
  <c r="I13" i="39"/>
  <c r="I14" i="39"/>
  <c r="I15" i="39"/>
  <c r="I16" i="39"/>
  <c r="I4" i="39"/>
  <c r="E17" i="39" l="1"/>
  <c r="F17" i="39"/>
  <c r="G17" i="39"/>
  <c r="H17" i="39"/>
  <c r="I17" i="39"/>
  <c r="J17" i="39"/>
  <c r="K17" i="39"/>
  <c r="L17" i="39"/>
  <c r="M17" i="39"/>
  <c r="D57" i="57" l="1"/>
  <c r="D58" i="57"/>
  <c r="D59" i="57"/>
  <c r="D60" i="57"/>
  <c r="D61" i="57"/>
  <c r="D62" i="57"/>
  <c r="D63" i="57"/>
  <c r="D64" i="57"/>
  <c r="D65" i="57"/>
  <c r="D66" i="57"/>
  <c r="D67" i="57"/>
  <c r="D68" i="57"/>
  <c r="Q100" i="39"/>
  <c r="Q101" i="39"/>
  <c r="Q102" i="39"/>
  <c r="Q103" i="39"/>
  <c r="P80" i="39"/>
  <c r="O80" i="39"/>
  <c r="N80" i="39"/>
  <c r="M80" i="39"/>
  <c r="L80" i="39"/>
  <c r="K80" i="39"/>
  <c r="J80" i="39"/>
  <c r="I80" i="39"/>
  <c r="H80" i="39"/>
  <c r="G80" i="39"/>
  <c r="F80" i="39"/>
  <c r="E80" i="39"/>
  <c r="D80" i="39"/>
  <c r="V17" i="39"/>
  <c r="U17" i="39"/>
  <c r="Q80" i="39" l="1"/>
  <c r="D11" i="43" l="1"/>
  <c r="I11" i="51"/>
  <c r="K207" i="41"/>
  <c r="K231" i="41" l="1"/>
  <c r="K232" i="41"/>
  <c r="K237" i="41"/>
  <c r="K233" i="41"/>
  <c r="K239" i="41"/>
  <c r="K241" i="41"/>
  <c r="K234" i="41"/>
  <c r="K240" i="41"/>
  <c r="K235" i="41"/>
  <c r="K236" i="41"/>
  <c r="K238" i="41"/>
  <c r="K242" i="41"/>
  <c r="D11" i="51"/>
  <c r="D11" i="49"/>
  <c r="D9" i="49"/>
  <c r="D9" i="43"/>
  <c r="D9" i="51"/>
  <c r="B121" i="57"/>
  <c r="K243" i="41" l="1"/>
  <c r="K107" i="41"/>
  <c r="L107" i="41"/>
  <c r="M107" i="41"/>
  <c r="N107" i="41"/>
  <c r="K108" i="41"/>
  <c r="L108" i="41"/>
  <c r="M108" i="41"/>
  <c r="N108" i="41"/>
  <c r="K109" i="41"/>
  <c r="L109" i="41"/>
  <c r="M109" i="41"/>
  <c r="N109" i="41"/>
  <c r="K110" i="41"/>
  <c r="L110" i="41"/>
  <c r="M110" i="41"/>
  <c r="N110" i="41"/>
  <c r="K111" i="41"/>
  <c r="L111" i="41"/>
  <c r="M111" i="41"/>
  <c r="N111" i="41"/>
  <c r="K112" i="41"/>
  <c r="L112" i="41"/>
  <c r="M112" i="41"/>
  <c r="N112" i="41"/>
  <c r="K113" i="41"/>
  <c r="L113" i="41"/>
  <c r="M113" i="41"/>
  <c r="N113" i="41"/>
  <c r="K114" i="41"/>
  <c r="L114" i="41"/>
  <c r="M114" i="41"/>
  <c r="N114" i="41"/>
  <c r="K115" i="41"/>
  <c r="L115" i="41"/>
  <c r="M115" i="41"/>
  <c r="N115" i="41"/>
  <c r="K116" i="41"/>
  <c r="L116" i="41"/>
  <c r="M116" i="41"/>
  <c r="N116" i="41"/>
  <c r="K117" i="41"/>
  <c r="L117" i="41"/>
  <c r="M117" i="41"/>
  <c r="N117" i="41"/>
  <c r="L106" i="41"/>
  <c r="M106" i="41"/>
  <c r="N106" i="41"/>
  <c r="K106" i="41"/>
  <c r="J107" i="41"/>
  <c r="J108" i="41"/>
  <c r="J109" i="41"/>
  <c r="J110" i="41"/>
  <c r="J111" i="41"/>
  <c r="J112" i="41"/>
  <c r="J113" i="41"/>
  <c r="J114" i="41"/>
  <c r="J115" i="41"/>
  <c r="J116" i="41"/>
  <c r="J117" i="41"/>
  <c r="J106" i="41"/>
  <c r="I107" i="41"/>
  <c r="I108" i="41"/>
  <c r="I109" i="41"/>
  <c r="I110" i="41"/>
  <c r="I111" i="41"/>
  <c r="I112" i="41"/>
  <c r="I113" i="41"/>
  <c r="I114" i="41"/>
  <c r="I115" i="41"/>
  <c r="I116" i="41"/>
  <c r="I117" i="41"/>
  <c r="I106" i="41"/>
  <c r="H107" i="41"/>
  <c r="H108" i="41"/>
  <c r="H109" i="41"/>
  <c r="H110" i="41"/>
  <c r="H111" i="41"/>
  <c r="H112" i="41"/>
  <c r="H113" i="41"/>
  <c r="H114" i="41"/>
  <c r="H115" i="41"/>
  <c r="H116" i="41"/>
  <c r="H117" i="41"/>
  <c r="H106" i="41"/>
  <c r="E107" i="41"/>
  <c r="F107" i="41"/>
  <c r="G107" i="41"/>
  <c r="E108" i="41"/>
  <c r="F108" i="41"/>
  <c r="G108" i="41"/>
  <c r="E109" i="41"/>
  <c r="F109" i="41"/>
  <c r="G109" i="41"/>
  <c r="E110" i="41"/>
  <c r="F110" i="41"/>
  <c r="G110" i="41"/>
  <c r="E111" i="41"/>
  <c r="F111" i="41"/>
  <c r="G111" i="41"/>
  <c r="E112" i="41"/>
  <c r="F112" i="41"/>
  <c r="G112" i="41"/>
  <c r="E113" i="41"/>
  <c r="F113" i="41"/>
  <c r="G113" i="41"/>
  <c r="E114" i="41"/>
  <c r="F114" i="41"/>
  <c r="G114" i="41"/>
  <c r="E115" i="41"/>
  <c r="F115" i="41"/>
  <c r="G115" i="41"/>
  <c r="E116" i="41"/>
  <c r="F116" i="41"/>
  <c r="G116" i="41"/>
  <c r="E117" i="41"/>
  <c r="F117" i="41"/>
  <c r="G117" i="41"/>
  <c r="F106" i="41"/>
  <c r="G106" i="41"/>
  <c r="E106" i="41"/>
  <c r="D107" i="41"/>
  <c r="D108" i="41"/>
  <c r="D109" i="41"/>
  <c r="D110" i="41"/>
  <c r="D111" i="41"/>
  <c r="D112" i="41"/>
  <c r="D113" i="41"/>
  <c r="D114" i="41"/>
  <c r="D115" i="41"/>
  <c r="D116" i="41"/>
  <c r="D117" i="41"/>
  <c r="D106" i="41"/>
  <c r="C107" i="41"/>
  <c r="C108" i="41"/>
  <c r="C109" i="41"/>
  <c r="C110" i="41"/>
  <c r="C111" i="41"/>
  <c r="C112" i="41"/>
  <c r="C113" i="41"/>
  <c r="C114" i="41"/>
  <c r="C115" i="41"/>
  <c r="C116" i="41"/>
  <c r="C117" i="41"/>
  <c r="C106" i="41"/>
  <c r="B107" i="41"/>
  <c r="B108" i="41"/>
  <c r="B109" i="41"/>
  <c r="B110" i="41"/>
  <c r="B111" i="41"/>
  <c r="B112" i="41"/>
  <c r="B113" i="41"/>
  <c r="B114" i="41"/>
  <c r="B115" i="41"/>
  <c r="B116" i="41"/>
  <c r="B117" i="41"/>
  <c r="B106" i="41"/>
  <c r="J118" i="41" l="1"/>
  <c r="E118" i="41"/>
  <c r="E119" i="41"/>
  <c r="AE7" i="41"/>
  <c r="AE6" i="41"/>
  <c r="AE5" i="41"/>
  <c r="AE4" i="41"/>
  <c r="AE3" i="41"/>
  <c r="AE8" i="41"/>
  <c r="AE9" i="41"/>
  <c r="AE10" i="41"/>
  <c r="AE11" i="41"/>
  <c r="AE12" i="41"/>
  <c r="AE13" i="41"/>
  <c r="AE14" i="41"/>
  <c r="G23" i="39" l="1"/>
  <c r="G24" i="39"/>
  <c r="G25" i="39"/>
  <c r="G26" i="39"/>
  <c r="G27" i="39"/>
  <c r="G28" i="39"/>
  <c r="G29" i="39"/>
  <c r="G30" i="39"/>
  <c r="G31" i="39"/>
  <c r="G32" i="39"/>
  <c r="G33" i="39"/>
  <c r="G34" i="39"/>
  <c r="G35" i="39"/>
  <c r="G36" i="39"/>
  <c r="G37" i="39"/>
  <c r="G22" i="39"/>
  <c r="G65" i="39"/>
  <c r="G66" i="39"/>
  <c r="G67" i="39"/>
  <c r="G68" i="39"/>
  <c r="G69" i="39"/>
  <c r="G70" i="39"/>
  <c r="G71" i="39"/>
  <c r="G72" i="39"/>
  <c r="G73" i="39"/>
  <c r="G74" i="39"/>
  <c r="G75" i="39"/>
  <c r="G76" i="39"/>
  <c r="G77" i="39"/>
  <c r="G78" i="39"/>
  <c r="G79" i="39"/>
  <c r="G64" i="39"/>
  <c r="D78" i="39"/>
  <c r="E78" i="39"/>
  <c r="F78" i="39"/>
  <c r="H78" i="39"/>
  <c r="I78" i="39"/>
  <c r="J78" i="39"/>
  <c r="K78" i="39"/>
  <c r="L78" i="39"/>
  <c r="M78" i="39"/>
  <c r="N78" i="39"/>
  <c r="O78" i="39"/>
  <c r="P78" i="39"/>
  <c r="D79" i="39"/>
  <c r="E79" i="39"/>
  <c r="F79" i="39"/>
  <c r="H79" i="39"/>
  <c r="I79" i="39"/>
  <c r="J79" i="39"/>
  <c r="K79" i="39"/>
  <c r="L79" i="39"/>
  <c r="M79" i="39"/>
  <c r="N79" i="39"/>
  <c r="O79" i="39"/>
  <c r="P79" i="39"/>
  <c r="D36" i="39"/>
  <c r="E36" i="39"/>
  <c r="F36" i="39"/>
  <c r="H36" i="39"/>
  <c r="I36" i="39"/>
  <c r="J36" i="39"/>
  <c r="K36" i="39"/>
  <c r="L36" i="39"/>
  <c r="M36" i="39"/>
  <c r="N36" i="39"/>
  <c r="O36" i="39"/>
  <c r="P36" i="39"/>
  <c r="D37" i="39"/>
  <c r="E37" i="39"/>
  <c r="F37" i="39"/>
  <c r="H37" i="39"/>
  <c r="I37" i="39"/>
  <c r="J37" i="39"/>
  <c r="K37" i="39"/>
  <c r="L37" i="39"/>
  <c r="M37" i="39"/>
  <c r="N37" i="39"/>
  <c r="O37" i="39"/>
  <c r="P37" i="39"/>
  <c r="N4" i="39"/>
  <c r="Q37" i="39" l="1"/>
  <c r="Q36" i="39"/>
  <c r="Q40" i="39"/>
  <c r="Q78" i="39"/>
  <c r="Q79" i="39"/>
  <c r="Q82" i="39"/>
  <c r="G11" i="49" l="1"/>
  <c r="I11" i="49"/>
  <c r="R4" i="39" l="1"/>
  <c r="S4" i="39"/>
  <c r="T4" i="39" s="1"/>
  <c r="D56" i="57" l="1"/>
  <c r="E56" i="41" l="1"/>
  <c r="E57" i="41"/>
  <c r="E58" i="41"/>
  <c r="E59" i="41"/>
  <c r="E60" i="41"/>
  <c r="E61" i="41"/>
  <c r="E62" i="41"/>
  <c r="E63" i="41"/>
  <c r="E64" i="41"/>
  <c r="E65" i="41"/>
  <c r="E66" i="41"/>
  <c r="E55" i="41"/>
  <c r="E67" i="41" s="1"/>
  <c r="E4" i="41"/>
  <c r="E5" i="41"/>
  <c r="E6" i="41"/>
  <c r="E7" i="41"/>
  <c r="E8" i="41"/>
  <c r="E9" i="41"/>
  <c r="E10" i="41"/>
  <c r="E11" i="41"/>
  <c r="E12" i="41"/>
  <c r="E13" i="41"/>
  <c r="E14" i="41"/>
  <c r="E3" i="41"/>
  <c r="Q61" i="39"/>
  <c r="O174" i="41"/>
  <c r="E15" i="41" l="1"/>
  <c r="E16" i="41"/>
  <c r="O17" i="41" l="1"/>
  <c r="D35" i="39" l="1"/>
  <c r="E35" i="39"/>
  <c r="F35" i="39"/>
  <c r="H35" i="39"/>
  <c r="I35" i="39"/>
  <c r="J35" i="39"/>
  <c r="K35" i="39"/>
  <c r="L35" i="39"/>
  <c r="M35" i="39"/>
  <c r="N35" i="39"/>
  <c r="O35" i="39"/>
  <c r="P35" i="39"/>
  <c r="E16" i="57"/>
  <c r="A3" i="41"/>
  <c r="A21" i="41" s="1"/>
  <c r="A4" i="41"/>
  <c r="A22" i="41" s="1"/>
  <c r="A5" i="41"/>
  <c r="A23" i="41" s="1"/>
  <c r="A6" i="41"/>
  <c r="A24" i="41" s="1"/>
  <c r="A7" i="41"/>
  <c r="A25" i="41" s="1"/>
  <c r="A8" i="41"/>
  <c r="A26" i="41" s="1"/>
  <c r="A9" i="41"/>
  <c r="A27" i="41" s="1"/>
  <c r="A10" i="41"/>
  <c r="A28" i="41" s="1"/>
  <c r="A11" i="41"/>
  <c r="A29" i="41" s="1"/>
  <c r="A12" i="41"/>
  <c r="A30" i="41" s="1"/>
  <c r="A13" i="41"/>
  <c r="A31" i="41" s="1"/>
  <c r="A14" i="41"/>
  <c r="A32" i="41" s="1"/>
  <c r="Q35" i="39" l="1"/>
  <c r="D11" i="53" l="1"/>
  <c r="D9" i="53"/>
  <c r="D11" i="52"/>
  <c r="D9" i="52"/>
  <c r="D11" i="50"/>
  <c r="D9" i="50"/>
  <c r="D11" i="48"/>
  <c r="D9" i="48"/>
  <c r="D11" i="47"/>
  <c r="D9" i="47"/>
  <c r="D11" i="46"/>
  <c r="D9" i="46"/>
  <c r="D11" i="44"/>
  <c r="D9" i="44"/>
  <c r="C12" i="44"/>
  <c r="C11" i="44"/>
  <c r="C10" i="44"/>
  <c r="C9" i="44"/>
  <c r="C8" i="44"/>
  <c r="C7" i="44"/>
  <c r="C6" i="44"/>
  <c r="C5" i="44"/>
  <c r="C4" i="44"/>
  <c r="D8" i="43"/>
  <c r="C12" i="54"/>
  <c r="C11" i="54"/>
  <c r="C10" i="54"/>
  <c r="C9" i="54"/>
  <c r="C8" i="54"/>
  <c r="C7" i="54"/>
  <c r="C6" i="54"/>
  <c r="C5" i="54"/>
  <c r="C4" i="54"/>
  <c r="C12" i="53"/>
  <c r="C11" i="53"/>
  <c r="C10" i="53"/>
  <c r="C9" i="53"/>
  <c r="C8" i="53"/>
  <c r="C7" i="53"/>
  <c r="C6" i="53"/>
  <c r="C5" i="53"/>
  <c r="C4" i="53"/>
  <c r="C12" i="52"/>
  <c r="C11" i="52"/>
  <c r="C10" i="52"/>
  <c r="C9" i="52"/>
  <c r="C8" i="52"/>
  <c r="C7" i="52"/>
  <c r="C6" i="52"/>
  <c r="C5" i="52"/>
  <c r="C4" i="52"/>
  <c r="C12" i="51"/>
  <c r="C11" i="51"/>
  <c r="C10" i="51"/>
  <c r="C9" i="51"/>
  <c r="C8" i="51"/>
  <c r="C7" i="51"/>
  <c r="C6" i="51"/>
  <c r="C5" i="51"/>
  <c r="C4" i="51"/>
  <c r="C12" i="50"/>
  <c r="C11" i="50"/>
  <c r="C10" i="50"/>
  <c r="C9" i="50"/>
  <c r="C8" i="50"/>
  <c r="C7" i="50"/>
  <c r="C6" i="50"/>
  <c r="C5" i="50"/>
  <c r="C4" i="50"/>
  <c r="C12" i="49"/>
  <c r="C11" i="49"/>
  <c r="C10" i="49"/>
  <c r="C9" i="49"/>
  <c r="C8" i="49"/>
  <c r="C7" i="49"/>
  <c r="C6" i="49"/>
  <c r="C5" i="49"/>
  <c r="C4" i="49"/>
  <c r="C12" i="48"/>
  <c r="C11" i="48"/>
  <c r="C10" i="48"/>
  <c r="C9" i="48"/>
  <c r="C8" i="48"/>
  <c r="C7" i="48"/>
  <c r="C6" i="48"/>
  <c r="C5" i="48"/>
  <c r="C4" i="48"/>
  <c r="C12" i="47"/>
  <c r="C11" i="47"/>
  <c r="C10" i="47"/>
  <c r="C9" i="47"/>
  <c r="C8" i="47"/>
  <c r="C7" i="47"/>
  <c r="C6" i="47"/>
  <c r="C5" i="47"/>
  <c r="C4" i="47"/>
  <c r="C12" i="46"/>
  <c r="C11" i="46"/>
  <c r="C10" i="46"/>
  <c r="C9" i="46"/>
  <c r="C8" i="46"/>
  <c r="C7" i="46"/>
  <c r="C6" i="46"/>
  <c r="C5" i="46"/>
  <c r="C4" i="46"/>
  <c r="C12" i="45"/>
  <c r="C11" i="45"/>
  <c r="C10" i="45"/>
  <c r="C9" i="45"/>
  <c r="C8" i="45"/>
  <c r="C7" i="45"/>
  <c r="C6" i="45"/>
  <c r="C5" i="45"/>
  <c r="C4" i="45"/>
  <c r="C12" i="43"/>
  <c r="C11" i="43"/>
  <c r="C10" i="43"/>
  <c r="C9" i="43"/>
  <c r="C8" i="43"/>
  <c r="K230" i="41"/>
  <c r="O169" i="41" l="1"/>
  <c r="B170" i="57" l="1"/>
  <c r="B169" i="57"/>
  <c r="B167" i="57"/>
  <c r="P77" i="39" l="1"/>
  <c r="O77" i="39"/>
  <c r="N77" i="39"/>
  <c r="M77" i="39"/>
  <c r="L77" i="39"/>
  <c r="K77" i="39"/>
  <c r="J77" i="39"/>
  <c r="I77" i="39"/>
  <c r="H77" i="39"/>
  <c r="F77" i="39"/>
  <c r="E77" i="39"/>
  <c r="D77" i="39"/>
  <c r="Q98" i="39"/>
  <c r="Q56" i="39"/>
  <c r="H4" i="58"/>
  <c r="D7" i="59"/>
  <c r="Q77" i="39" l="1"/>
  <c r="D8" i="51"/>
  <c r="D8" i="52"/>
  <c r="D6" i="51"/>
  <c r="G11" i="51" l="1"/>
  <c r="I11" i="43"/>
  <c r="R4" i="58"/>
  <c r="Q4" i="58"/>
  <c r="S16" i="39"/>
  <c r="S5" i="39"/>
  <c r="S6" i="39"/>
  <c r="S8" i="39"/>
  <c r="S9" i="39"/>
  <c r="S10" i="39"/>
  <c r="S11" i="39"/>
  <c r="S12" i="39"/>
  <c r="S13" i="39"/>
  <c r="S14" i="39"/>
  <c r="S15" i="39"/>
  <c r="R12" i="39"/>
  <c r="D10" i="50" s="1"/>
  <c r="R13" i="39"/>
  <c r="D10" i="51" s="1"/>
  <c r="R14" i="39"/>
  <c r="D10" i="52" s="1"/>
  <c r="R15" i="39"/>
  <c r="D10" i="53" s="1"/>
  <c r="R16" i="39"/>
  <c r="D10" i="54" s="1"/>
  <c r="R5" i="39"/>
  <c r="D10" i="44" s="1"/>
  <c r="R6" i="39"/>
  <c r="D10" i="45" s="1"/>
  <c r="R8" i="39"/>
  <c r="R9" i="39"/>
  <c r="D10" i="47" s="1"/>
  <c r="R10" i="39"/>
  <c r="D10" i="48" s="1"/>
  <c r="R11" i="39"/>
  <c r="D10" i="49" s="1"/>
  <c r="K226" i="41"/>
  <c r="J11" i="51" s="1"/>
  <c r="AG303" i="41"/>
  <c r="AH303" i="41"/>
  <c r="AI303" i="41"/>
  <c r="AJ303" i="41"/>
  <c r="AK303" i="41"/>
  <c r="AL303" i="41"/>
  <c r="AM303" i="41"/>
  <c r="AN303" i="41"/>
  <c r="AC303" i="41"/>
  <c r="AD303" i="41"/>
  <c r="AE303" i="41"/>
  <c r="AF303" i="41"/>
  <c r="S303" i="41"/>
  <c r="T303" i="41"/>
  <c r="U303" i="41"/>
  <c r="V303" i="41"/>
  <c r="W303" i="41"/>
  <c r="X303" i="41"/>
  <c r="Y303" i="41"/>
  <c r="Z303" i="41"/>
  <c r="AA303" i="41"/>
  <c r="AB303" i="41"/>
  <c r="C303" i="41"/>
  <c r="D303" i="41"/>
  <c r="E303" i="41"/>
  <c r="F303" i="41"/>
  <c r="G303" i="41"/>
  <c r="H303" i="41"/>
  <c r="I303" i="41"/>
  <c r="J303" i="41"/>
  <c r="N303" i="41"/>
  <c r="O303" i="41"/>
  <c r="P303" i="41"/>
  <c r="Q303" i="41"/>
  <c r="R303" i="41"/>
  <c r="B303" i="41"/>
  <c r="D10" i="46" l="1"/>
  <c r="A118" i="41"/>
  <c r="B2" i="44" l="1"/>
  <c r="D3" i="44"/>
  <c r="D4" i="44"/>
  <c r="D6" i="44"/>
  <c r="D8" i="44"/>
  <c r="C5" i="43" l="1"/>
  <c r="D8" i="59" l="1"/>
  <c r="D5" i="59"/>
  <c r="C4" i="59"/>
  <c r="D6" i="54"/>
  <c r="D6" i="53"/>
  <c r="D6" i="52"/>
  <c r="D6" i="50"/>
  <c r="D6" i="48"/>
  <c r="D6" i="47"/>
  <c r="D6" i="46"/>
  <c r="D6" i="49"/>
  <c r="D6" i="45"/>
  <c r="D6" i="43"/>
  <c r="D5" i="44"/>
  <c r="D5" i="45"/>
  <c r="D5" i="46"/>
  <c r="D5" i="47"/>
  <c r="D5" i="48"/>
  <c r="D5" i="49"/>
  <c r="D5" i="50"/>
  <c r="D5" i="51"/>
  <c r="D5" i="52"/>
  <c r="D5" i="53"/>
  <c r="D5" i="54"/>
  <c r="D5" i="43"/>
  <c r="C6" i="43" l="1"/>
  <c r="C5" i="59" l="1"/>
  <c r="C8" i="59"/>
  <c r="I11" i="59" l="1"/>
  <c r="G11" i="59"/>
  <c r="B307" i="57"/>
  <c r="B306" i="57"/>
  <c r="B305" i="57"/>
  <c r="B304" i="57"/>
  <c r="B303" i="57"/>
  <c r="B302" i="57"/>
  <c r="B301" i="57"/>
  <c r="B300" i="57"/>
  <c r="B299" i="57"/>
  <c r="B298" i="57"/>
  <c r="B297" i="57"/>
  <c r="B296" i="57"/>
  <c r="B274" i="57"/>
  <c r="J11" i="59" s="1"/>
  <c r="B273" i="57"/>
  <c r="I11" i="54"/>
  <c r="G11" i="54"/>
  <c r="I11" i="53"/>
  <c r="G11" i="53"/>
  <c r="I11" i="52"/>
  <c r="G11" i="52"/>
  <c r="I11" i="50"/>
  <c r="G11" i="50"/>
  <c r="I11" i="48"/>
  <c r="G11" i="48"/>
  <c r="I11" i="47"/>
  <c r="G11" i="47"/>
  <c r="I11" i="46"/>
  <c r="G11" i="46"/>
  <c r="I11" i="45"/>
  <c r="G11" i="45"/>
  <c r="I11" i="44"/>
  <c r="G11" i="44"/>
  <c r="G11" i="43"/>
  <c r="N226" i="41"/>
  <c r="J11" i="54" s="1"/>
  <c r="M226" i="41"/>
  <c r="J11" i="53" s="1"/>
  <c r="L226" i="41"/>
  <c r="J11" i="52" s="1"/>
  <c r="J226" i="41"/>
  <c r="J11" i="50" s="1"/>
  <c r="I226" i="41"/>
  <c r="J11" i="49" s="1"/>
  <c r="H226" i="41"/>
  <c r="J11" i="48" s="1"/>
  <c r="G226" i="41"/>
  <c r="J11" i="47" s="1"/>
  <c r="F226" i="41"/>
  <c r="J11" i="46" s="1"/>
  <c r="D226" i="41"/>
  <c r="J11" i="45" s="1"/>
  <c r="C226" i="41"/>
  <c r="J11" i="44" s="1"/>
  <c r="B226" i="41"/>
  <c r="J11" i="43" s="1"/>
  <c r="N225" i="41"/>
  <c r="M225" i="41"/>
  <c r="L225" i="41"/>
  <c r="K225" i="41"/>
  <c r="J225" i="41"/>
  <c r="I225" i="41"/>
  <c r="H225" i="41"/>
  <c r="G225" i="41"/>
  <c r="F225" i="41"/>
  <c r="D225" i="41"/>
  <c r="C225" i="41"/>
  <c r="B225" i="41"/>
  <c r="B15" i="57" l="1"/>
  <c r="B14" i="57"/>
  <c r="B13" i="57"/>
  <c r="B12" i="57"/>
  <c r="B11" i="57"/>
  <c r="B10" i="57"/>
  <c r="B9" i="57"/>
  <c r="B8" i="57"/>
  <c r="B7" i="57"/>
  <c r="B6" i="57"/>
  <c r="B5" i="57"/>
  <c r="B4" i="57"/>
  <c r="AI259" i="41" l="1"/>
  <c r="AH259" i="41"/>
  <c r="AG259" i="41"/>
  <c r="AF259" i="41"/>
  <c r="AE259" i="41"/>
  <c r="AD259" i="41"/>
  <c r="AC259" i="41"/>
  <c r="AB259" i="41"/>
  <c r="AA259" i="41"/>
  <c r="Z259" i="41"/>
  <c r="Y259" i="41"/>
  <c r="X259" i="41"/>
  <c r="W259" i="41"/>
  <c r="V259" i="41"/>
  <c r="U259" i="41"/>
  <c r="T259" i="41"/>
  <c r="S259" i="41"/>
  <c r="R259" i="41"/>
  <c r="Q259" i="41"/>
  <c r="P259" i="41"/>
  <c r="O259" i="41"/>
  <c r="M277" i="41"/>
  <c r="L277" i="41"/>
  <c r="K277" i="41"/>
  <c r="J277" i="41"/>
  <c r="I277" i="41"/>
  <c r="H277" i="41"/>
  <c r="G277" i="41"/>
  <c r="F277" i="41"/>
  <c r="E277" i="41"/>
  <c r="D277" i="41"/>
  <c r="C277" i="41"/>
  <c r="B277" i="41"/>
  <c r="P76" i="39" l="1"/>
  <c r="O76" i="39"/>
  <c r="N76" i="39"/>
  <c r="M76" i="39"/>
  <c r="L76" i="39"/>
  <c r="K76" i="39"/>
  <c r="J76" i="39"/>
  <c r="I76" i="39"/>
  <c r="H76" i="39"/>
  <c r="F76" i="39"/>
  <c r="E76" i="39"/>
  <c r="D76" i="39"/>
  <c r="Q97" i="39"/>
  <c r="P34" i="39"/>
  <c r="O34" i="39"/>
  <c r="N34" i="39"/>
  <c r="M34" i="39"/>
  <c r="L34" i="39"/>
  <c r="K34" i="39"/>
  <c r="J34" i="39"/>
  <c r="I34" i="39"/>
  <c r="H34" i="39"/>
  <c r="F34" i="39"/>
  <c r="E34" i="39"/>
  <c r="D34" i="39"/>
  <c r="Q55" i="39"/>
  <c r="O168" i="41"/>
  <c r="Q76" i="39" l="1"/>
  <c r="Q34" i="39"/>
  <c r="B1" i="49"/>
  <c r="B202" i="57" l="1"/>
  <c r="B203" i="57" l="1"/>
  <c r="B288" i="57" l="1"/>
  <c r="B282" i="57"/>
  <c r="B287" i="57"/>
  <c r="B281" i="57"/>
  <c r="B286" i="57"/>
  <c r="B280" i="57"/>
  <c r="B283" i="57"/>
  <c r="B285" i="57"/>
  <c r="B289" i="57"/>
  <c r="B291" i="57"/>
  <c r="B284" i="57"/>
  <c r="B290" i="57"/>
  <c r="B292" i="57" l="1"/>
  <c r="B168" i="57"/>
  <c r="Q96" i="39" l="1"/>
  <c r="P75" i="39"/>
  <c r="O75" i="39"/>
  <c r="N75" i="39"/>
  <c r="M75" i="39"/>
  <c r="L75" i="39"/>
  <c r="K75" i="39"/>
  <c r="J75" i="39"/>
  <c r="I75" i="39"/>
  <c r="H75" i="39"/>
  <c r="F75" i="39"/>
  <c r="E75" i="39"/>
  <c r="D75" i="39"/>
  <c r="Q54" i="39"/>
  <c r="P33" i="39"/>
  <c r="O33" i="39"/>
  <c r="N33" i="39"/>
  <c r="M33" i="39"/>
  <c r="L33" i="39"/>
  <c r="K33" i="39"/>
  <c r="J33" i="39"/>
  <c r="I33" i="39"/>
  <c r="H33" i="39"/>
  <c r="F33" i="39"/>
  <c r="E33" i="39"/>
  <c r="D33" i="39"/>
  <c r="Q75" i="39" l="1"/>
  <c r="Q33" i="39"/>
  <c r="F2" i="59" l="1"/>
  <c r="F2" i="54"/>
  <c r="D6" i="59"/>
  <c r="O166" i="41" l="1"/>
  <c r="B1" i="50" l="1"/>
  <c r="B1" i="51"/>
  <c r="I4" i="59"/>
  <c r="G4" i="59"/>
  <c r="I4" i="54"/>
  <c r="G4" i="54"/>
  <c r="I4" i="53"/>
  <c r="G4" i="53"/>
  <c r="I4" i="52"/>
  <c r="G4" i="52"/>
  <c r="I4" i="51"/>
  <c r="G4" i="51"/>
  <c r="I4" i="50"/>
  <c r="G4" i="50"/>
  <c r="I4" i="49"/>
  <c r="G4" i="49"/>
  <c r="I4" i="48"/>
  <c r="G4" i="48"/>
  <c r="I4" i="47"/>
  <c r="G4" i="47"/>
  <c r="I4" i="46"/>
  <c r="G4" i="46"/>
  <c r="I4" i="45"/>
  <c r="G4" i="45"/>
  <c r="I4" i="44"/>
  <c r="G4" i="44"/>
  <c r="I4" i="43"/>
  <c r="G4" i="43"/>
  <c r="B1" i="59"/>
  <c r="B1" i="54"/>
  <c r="B1" i="53"/>
  <c r="B1" i="52"/>
  <c r="B1" i="48"/>
  <c r="B1" i="47"/>
  <c r="B1" i="46"/>
  <c r="B1" i="45"/>
  <c r="B1" i="44"/>
  <c r="B2" i="59"/>
  <c r="B2" i="54"/>
  <c r="B2" i="53"/>
  <c r="B2" i="52"/>
  <c r="B2" i="51"/>
  <c r="B2" i="50"/>
  <c r="B2" i="49"/>
  <c r="B2" i="48"/>
  <c r="B2" i="47"/>
  <c r="B2" i="46"/>
  <c r="B2" i="45"/>
  <c r="B2" i="43"/>
  <c r="B1" i="43"/>
  <c r="F2" i="43"/>
  <c r="F2" i="44"/>
  <c r="A68" i="57" l="1"/>
  <c r="A120" i="57" s="1"/>
  <c r="A67" i="57"/>
  <c r="A119" i="57" s="1"/>
  <c r="A66" i="57"/>
  <c r="A118" i="57" s="1"/>
  <c r="A65" i="57"/>
  <c r="A117" i="57" s="1"/>
  <c r="A64" i="57"/>
  <c r="A116" i="57" s="1"/>
  <c r="A63" i="57"/>
  <c r="A115" i="57" s="1"/>
  <c r="A62" i="57"/>
  <c r="A114" i="57" s="1"/>
  <c r="A61" i="57"/>
  <c r="A113" i="57" s="1"/>
  <c r="A60" i="57"/>
  <c r="A112" i="57" s="1"/>
  <c r="A59" i="57"/>
  <c r="A111" i="57" s="1"/>
  <c r="A58" i="57"/>
  <c r="A110" i="57" s="1"/>
  <c r="A57" i="57"/>
  <c r="A109" i="57" s="1"/>
  <c r="A56" i="57"/>
  <c r="A108" i="57" s="1"/>
  <c r="A15" i="57"/>
  <c r="A33" i="57" s="1"/>
  <c r="A49" i="57" s="1"/>
  <c r="A86" i="57" s="1"/>
  <c r="A102" i="57" s="1"/>
  <c r="A139" i="57" s="1"/>
  <c r="A155" i="57" s="1"/>
  <c r="A14" i="57"/>
  <c r="A32" i="57" s="1"/>
  <c r="A48" i="57" s="1"/>
  <c r="A85" i="57" s="1"/>
  <c r="A101" i="57" s="1"/>
  <c r="A138" i="57" s="1"/>
  <c r="A154" i="57" s="1"/>
  <c r="A13" i="57"/>
  <c r="A31" i="57" s="1"/>
  <c r="A47" i="57" s="1"/>
  <c r="A84" i="57" s="1"/>
  <c r="A100" i="57" s="1"/>
  <c r="A137" i="57" s="1"/>
  <c r="A153" i="57" s="1"/>
  <c r="A12" i="57"/>
  <c r="A30" i="57" s="1"/>
  <c r="A46" i="57" s="1"/>
  <c r="A83" i="57" s="1"/>
  <c r="A99" i="57" s="1"/>
  <c r="A136" i="57" s="1"/>
  <c r="A152" i="57" s="1"/>
  <c r="A11" i="57"/>
  <c r="A29" i="57" s="1"/>
  <c r="A45" i="57" s="1"/>
  <c r="A82" i="57" s="1"/>
  <c r="A98" i="57" s="1"/>
  <c r="A135" i="57" s="1"/>
  <c r="A151" i="57" s="1"/>
  <c r="A10" i="57"/>
  <c r="A28" i="57" s="1"/>
  <c r="A44" i="57" s="1"/>
  <c r="A81" i="57" s="1"/>
  <c r="A97" i="57" s="1"/>
  <c r="A134" i="57" s="1"/>
  <c r="A150" i="57" s="1"/>
  <c r="A9" i="57"/>
  <c r="A27" i="57" s="1"/>
  <c r="A43" i="57" s="1"/>
  <c r="A80" i="57" s="1"/>
  <c r="A96" i="57" s="1"/>
  <c r="A133" i="57" s="1"/>
  <c r="A149" i="57" s="1"/>
  <c r="A8" i="57"/>
  <c r="A26" i="57" s="1"/>
  <c r="A42" i="57" s="1"/>
  <c r="A79" i="57" s="1"/>
  <c r="A95" i="57" s="1"/>
  <c r="A132" i="57" s="1"/>
  <c r="A148" i="57" s="1"/>
  <c r="A7" i="57"/>
  <c r="A25" i="57" s="1"/>
  <c r="A41" i="57" s="1"/>
  <c r="A78" i="57" s="1"/>
  <c r="A94" i="57" s="1"/>
  <c r="A131" i="57" s="1"/>
  <c r="A147" i="57" s="1"/>
  <c r="A6" i="57"/>
  <c r="A24" i="57" s="1"/>
  <c r="A40" i="57" s="1"/>
  <c r="A77" i="57" s="1"/>
  <c r="A93" i="57" s="1"/>
  <c r="A130" i="57" s="1"/>
  <c r="A146" i="57" s="1"/>
  <c r="A5" i="57"/>
  <c r="A23" i="57" s="1"/>
  <c r="A39" i="57" s="1"/>
  <c r="A76" i="57" s="1"/>
  <c r="A92" i="57" s="1"/>
  <c r="A129" i="57" s="1"/>
  <c r="A145" i="57" s="1"/>
  <c r="A4" i="57"/>
  <c r="A22" i="57" s="1"/>
  <c r="A38" i="57" s="1"/>
  <c r="A75" i="57" s="1"/>
  <c r="A91" i="57" s="1"/>
  <c r="A128" i="57" s="1"/>
  <c r="A144" i="57" s="1"/>
  <c r="A3" i="57"/>
  <c r="A213" i="57" l="1"/>
  <c r="A229" i="57" s="1"/>
  <c r="A284" i="57"/>
  <c r="A300" i="57" s="1"/>
  <c r="A199" i="57"/>
  <c r="A270" i="57"/>
  <c r="A214" i="57"/>
  <c r="A230" i="57" s="1"/>
  <c r="A285" i="57"/>
  <c r="A301" i="57" s="1"/>
  <c r="A192" i="57"/>
  <c r="A263" i="57"/>
  <c r="A200" i="57"/>
  <c r="A271" i="57"/>
  <c r="A215" i="57"/>
  <c r="A231" i="57" s="1"/>
  <c r="A286" i="57"/>
  <c r="A302" i="57" s="1"/>
  <c r="A190" i="57"/>
  <c r="A261" i="57"/>
  <c r="A193" i="57"/>
  <c r="A264" i="57"/>
  <c r="A201" i="57"/>
  <c r="A272" i="57"/>
  <c r="A216" i="57"/>
  <c r="A232" i="57" s="1"/>
  <c r="A287" i="57"/>
  <c r="A303" i="57" s="1"/>
  <c r="A191" i="57"/>
  <c r="A262" i="57"/>
  <c r="A209" i="57"/>
  <c r="A225" i="57" s="1"/>
  <c r="A280" i="57"/>
  <c r="A296" i="57" s="1"/>
  <c r="A217" i="57"/>
  <c r="A233" i="57" s="1"/>
  <c r="A288" i="57"/>
  <c r="A304" i="57" s="1"/>
  <c r="A198" i="57"/>
  <c r="A269" i="57"/>
  <c r="A194" i="57"/>
  <c r="A265" i="57"/>
  <c r="A195" i="57"/>
  <c r="A266" i="57"/>
  <c r="A210" i="57"/>
  <c r="A226" i="57" s="1"/>
  <c r="A281" i="57"/>
  <c r="A297" i="57" s="1"/>
  <c r="A218" i="57"/>
  <c r="A234" i="57" s="1"/>
  <c r="A289" i="57"/>
  <c r="A305" i="57" s="1"/>
  <c r="A196" i="57"/>
  <c r="A267" i="57"/>
  <c r="A211" i="57"/>
  <c r="A227" i="57" s="1"/>
  <c r="A282" i="57"/>
  <c r="A298" i="57" s="1"/>
  <c r="A219" i="57"/>
  <c r="A235" i="57" s="1"/>
  <c r="A290" i="57"/>
  <c r="A306" i="57" s="1"/>
  <c r="A189" i="57"/>
  <c r="A260" i="57"/>
  <c r="A197" i="57"/>
  <c r="A268" i="57"/>
  <c r="A212" i="57"/>
  <c r="A228" i="57" s="1"/>
  <c r="A283" i="57"/>
  <c r="A299" i="57" s="1"/>
  <c r="A220" i="57"/>
  <c r="A236" i="57" s="1"/>
  <c r="A291" i="57"/>
  <c r="A307" i="57" s="1"/>
  <c r="A84" i="41"/>
  <c r="A83" i="41"/>
  <c r="A82" i="41"/>
  <c r="A81" i="41"/>
  <c r="A80" i="41"/>
  <c r="A79" i="41"/>
  <c r="A78" i="41"/>
  <c r="A77" i="41"/>
  <c r="A76" i="41"/>
  <c r="A75" i="41"/>
  <c r="A74" i="41"/>
  <c r="A73" i="41"/>
  <c r="AE117" i="41"/>
  <c r="AE116" i="41"/>
  <c r="AE115" i="41"/>
  <c r="AE114" i="41"/>
  <c r="AE113" i="41"/>
  <c r="AE112" i="41"/>
  <c r="AE111" i="41"/>
  <c r="AE110" i="41"/>
  <c r="AE109" i="41"/>
  <c r="AE108" i="41"/>
  <c r="AE107" i="41"/>
  <c r="AE106" i="41"/>
  <c r="AD118" i="41"/>
  <c r="AC118" i="41"/>
  <c r="AB118" i="41"/>
  <c r="AA118" i="41"/>
  <c r="Z118" i="41"/>
  <c r="Y118" i="41"/>
  <c r="X118" i="41"/>
  <c r="W118" i="41"/>
  <c r="V118" i="41"/>
  <c r="U118" i="41"/>
  <c r="S118" i="41"/>
  <c r="R118" i="41"/>
  <c r="H118" i="41" l="1"/>
  <c r="AE118" i="41"/>
  <c r="A100" i="41"/>
  <c r="A136" i="41" s="1"/>
  <c r="A152" i="41" s="1"/>
  <c r="A98" i="41"/>
  <c r="A134" i="41" s="1"/>
  <c r="A150" i="41" s="1"/>
  <c r="A92" i="41"/>
  <c r="A128" i="41" s="1"/>
  <c r="A144" i="41" s="1"/>
  <c r="A90" i="41"/>
  <c r="A126" i="41" s="1"/>
  <c r="A142" i="41" s="1"/>
  <c r="A99" i="41"/>
  <c r="A135" i="41" s="1"/>
  <c r="A151" i="41" s="1"/>
  <c r="A97" i="41"/>
  <c r="A133" i="41" s="1"/>
  <c r="A149" i="41" s="1"/>
  <c r="A96" i="41"/>
  <c r="A132" i="41" s="1"/>
  <c r="A148" i="41" s="1"/>
  <c r="A95" i="41"/>
  <c r="A131" i="41" s="1"/>
  <c r="A147" i="41" s="1"/>
  <c r="A94" i="41"/>
  <c r="A130" i="41" s="1"/>
  <c r="A146" i="41" s="1"/>
  <c r="A93" i="41"/>
  <c r="A129" i="41" s="1"/>
  <c r="A145" i="41" s="1"/>
  <c r="A91" i="41"/>
  <c r="A127" i="41" s="1"/>
  <c r="A143" i="41" s="1"/>
  <c r="A89" i="41"/>
  <c r="A125" i="41" s="1"/>
  <c r="A141" i="41" s="1"/>
  <c r="Q66" i="41"/>
  <c r="Q117" i="41" s="1"/>
  <c r="A117" i="41" s="1"/>
  <c r="Q65" i="41"/>
  <c r="A65" i="41" s="1"/>
  <c r="Q64" i="41"/>
  <c r="A64" i="41" s="1"/>
  <c r="Q63" i="41"/>
  <c r="A63" i="41" s="1"/>
  <c r="Q62" i="41"/>
  <c r="A62" i="41" s="1"/>
  <c r="Q61" i="41"/>
  <c r="A61" i="41" s="1"/>
  <c r="Q60" i="41"/>
  <c r="A60" i="41" s="1"/>
  <c r="Q59" i="41"/>
  <c r="A59" i="41" s="1"/>
  <c r="Q58" i="41"/>
  <c r="Q109" i="41" s="1"/>
  <c r="A109" i="41" s="1"/>
  <c r="Q57" i="41"/>
  <c r="A57" i="41" s="1"/>
  <c r="Q56" i="41"/>
  <c r="Q107" i="41" s="1"/>
  <c r="A107" i="41" s="1"/>
  <c r="Q55" i="41"/>
  <c r="A55" i="41" s="1"/>
  <c r="A48" i="41"/>
  <c r="A47" i="41"/>
  <c r="A46" i="41"/>
  <c r="A45" i="41"/>
  <c r="A44" i="41"/>
  <c r="A43" i="41"/>
  <c r="A42" i="41"/>
  <c r="A41" i="41"/>
  <c r="A40" i="41"/>
  <c r="A39" i="41"/>
  <c r="A38" i="41"/>
  <c r="A37" i="41"/>
  <c r="P74" i="39"/>
  <c r="O74" i="39"/>
  <c r="N74" i="39"/>
  <c r="M74" i="39"/>
  <c r="L74" i="39"/>
  <c r="K74" i="39"/>
  <c r="J74" i="39"/>
  <c r="I74" i="39"/>
  <c r="H74" i="39"/>
  <c r="F74" i="39"/>
  <c r="E74" i="39"/>
  <c r="D74" i="39"/>
  <c r="Q95" i="39"/>
  <c r="Q53" i="39"/>
  <c r="P32" i="39"/>
  <c r="O32" i="39"/>
  <c r="N32" i="39"/>
  <c r="M32" i="39"/>
  <c r="L32" i="39"/>
  <c r="K32" i="39"/>
  <c r="J32" i="39"/>
  <c r="I32" i="39"/>
  <c r="H32" i="39"/>
  <c r="F32" i="39"/>
  <c r="E32" i="39"/>
  <c r="D32" i="39"/>
  <c r="N16" i="39"/>
  <c r="N15" i="39"/>
  <c r="N14" i="39"/>
  <c r="D7" i="52" s="1"/>
  <c r="N13" i="39"/>
  <c r="D7" i="51" s="1"/>
  <c r="N12" i="39"/>
  <c r="N11" i="39"/>
  <c r="N10" i="39"/>
  <c r="N9" i="39"/>
  <c r="N8" i="39"/>
  <c r="N6" i="39"/>
  <c r="N5" i="39"/>
  <c r="D7" i="44" s="1"/>
  <c r="Q32" i="39" l="1"/>
  <c r="A56" i="41"/>
  <c r="A234" i="41"/>
  <c r="A250" i="41" s="1"/>
  <c r="A235" i="41"/>
  <c r="A251" i="41" s="1"/>
  <c r="A240" i="41"/>
  <c r="A256" i="41" s="1"/>
  <c r="A236" i="41"/>
  <c r="A252" i="41" s="1"/>
  <c r="A242" i="41"/>
  <c r="A258" i="41" s="1"/>
  <c r="A241" i="41"/>
  <c r="A257" i="41" s="1"/>
  <c r="A237" i="41"/>
  <c r="A253" i="41" s="1"/>
  <c r="Q106" i="41"/>
  <c r="A106" i="41" s="1"/>
  <c r="A238" i="41"/>
  <c r="A254" i="41" s="1"/>
  <c r="Q114" i="41"/>
  <c r="A114" i="41" s="1"/>
  <c r="A239" i="41"/>
  <c r="A255" i="41" s="1"/>
  <c r="A233" i="41"/>
  <c r="A249" i="41" s="1"/>
  <c r="A232" i="41"/>
  <c r="A248" i="41" s="1"/>
  <c r="A231" i="41"/>
  <c r="A247" i="41" s="1"/>
  <c r="A58" i="41"/>
  <c r="Q115" i="41"/>
  <c r="A115" i="41" s="1"/>
  <c r="Q108" i="41"/>
  <c r="A108" i="41" s="1"/>
  <c r="Q116" i="41"/>
  <c r="A116" i="41" s="1"/>
  <c r="A66" i="41"/>
  <c r="Q110" i="41"/>
  <c r="A110" i="41" s="1"/>
  <c r="Q111" i="41"/>
  <c r="A111" i="41" s="1"/>
  <c r="Q112" i="41"/>
  <c r="A112" i="41" s="1"/>
  <c r="Q113" i="41"/>
  <c r="A113" i="41" s="1"/>
  <c r="Q74" i="39"/>
  <c r="D11" i="59" l="1"/>
  <c r="D4" i="59"/>
  <c r="D3" i="59"/>
  <c r="S4" i="58"/>
  <c r="D12" i="59" s="1"/>
  <c r="N4" i="58"/>
  <c r="D10" i="59" s="1"/>
  <c r="M4" i="58"/>
  <c r="D9" i="59" s="1"/>
  <c r="B236" i="57"/>
  <c r="B235" i="57"/>
  <c r="B234" i="57"/>
  <c r="B233" i="57"/>
  <c r="B232" i="57"/>
  <c r="B231" i="57"/>
  <c r="B230" i="57"/>
  <c r="B229" i="57"/>
  <c r="B228" i="57"/>
  <c r="B227" i="57"/>
  <c r="B226" i="57"/>
  <c r="B225" i="57"/>
  <c r="B217" i="57"/>
  <c r="B166" i="57"/>
  <c r="B165" i="57"/>
  <c r="B164" i="57"/>
  <c r="B163" i="57"/>
  <c r="B162" i="57"/>
  <c r="B161" i="57"/>
  <c r="B160" i="57"/>
  <c r="B155" i="57"/>
  <c r="B154" i="57"/>
  <c r="B153" i="57"/>
  <c r="B152" i="57"/>
  <c r="B151" i="57"/>
  <c r="B150" i="57"/>
  <c r="B149" i="57"/>
  <c r="B148" i="57"/>
  <c r="B147" i="57"/>
  <c r="B146" i="57"/>
  <c r="B145" i="57"/>
  <c r="B144" i="57"/>
  <c r="B122" i="57"/>
  <c r="B137" i="57" s="1"/>
  <c r="C123" i="57"/>
  <c r="E69" i="57"/>
  <c r="B68" i="57"/>
  <c r="B67" i="57"/>
  <c r="B66" i="57"/>
  <c r="B65" i="57"/>
  <c r="B64" i="57"/>
  <c r="B63" i="57"/>
  <c r="B62" i="57"/>
  <c r="B61" i="57"/>
  <c r="B60" i="57"/>
  <c r="B59" i="57"/>
  <c r="B58" i="57"/>
  <c r="B57" i="57"/>
  <c r="B56" i="57"/>
  <c r="B3" i="57"/>
  <c r="G9" i="59" l="1"/>
  <c r="I9" i="59"/>
  <c r="B97" i="57"/>
  <c r="B47" i="57"/>
  <c r="B39" i="57"/>
  <c r="B212" i="57"/>
  <c r="B214" i="57"/>
  <c r="B220" i="57"/>
  <c r="J9" i="59"/>
  <c r="B99" i="57"/>
  <c r="B94" i="57"/>
  <c r="B96" i="57"/>
  <c r="B98" i="57"/>
  <c r="B93" i="57"/>
  <c r="B101" i="57"/>
  <c r="B95" i="57"/>
  <c r="B102" i="57"/>
  <c r="B91" i="57"/>
  <c r="B17" i="57"/>
  <c r="J5" i="59" s="1"/>
  <c r="B48" i="57"/>
  <c r="B46" i="57"/>
  <c r="B43" i="57"/>
  <c r="B44" i="57"/>
  <c r="B45" i="57"/>
  <c r="B40" i="57"/>
  <c r="B41" i="57"/>
  <c r="B49" i="57"/>
  <c r="B92" i="57"/>
  <c r="B100" i="57"/>
  <c r="B130" i="57"/>
  <c r="B138" i="57"/>
  <c r="B210" i="57"/>
  <c r="B218" i="57"/>
  <c r="B70" i="57"/>
  <c r="B131" i="57"/>
  <c r="B139" i="57"/>
  <c r="B211" i="57"/>
  <c r="B219" i="57"/>
  <c r="B42" i="57"/>
  <c r="B132" i="57"/>
  <c r="B133" i="57"/>
  <c r="B213" i="57"/>
  <c r="B16" i="57"/>
  <c r="B38" i="57"/>
  <c r="B135" i="57"/>
  <c r="B215" i="57"/>
  <c r="B134" i="57"/>
  <c r="B128" i="57"/>
  <c r="B136" i="57"/>
  <c r="B216" i="57"/>
  <c r="B69" i="57"/>
  <c r="B129" i="57"/>
  <c r="B209" i="57"/>
  <c r="B33" i="57" l="1"/>
  <c r="B26" i="57"/>
  <c r="B22" i="57"/>
  <c r="B80" i="57"/>
  <c r="J7" i="59"/>
  <c r="I7" i="59"/>
  <c r="G7" i="59"/>
  <c r="B25" i="57"/>
  <c r="B28" i="57"/>
  <c r="B32" i="57"/>
  <c r="B29" i="57"/>
  <c r="B31" i="57"/>
  <c r="B23" i="57"/>
  <c r="B27" i="57"/>
  <c r="B30" i="57"/>
  <c r="B24" i="57"/>
  <c r="I5" i="59"/>
  <c r="G5" i="59"/>
  <c r="B140" i="57"/>
  <c r="B85" i="57"/>
  <c r="B79" i="57"/>
  <c r="B77" i="57"/>
  <c r="B83" i="57"/>
  <c r="B75" i="57"/>
  <c r="B221" i="57"/>
  <c r="B86" i="57"/>
  <c r="B76" i="57"/>
  <c r="B50" i="57"/>
  <c r="B78" i="57"/>
  <c r="B84" i="57"/>
  <c r="B82" i="57"/>
  <c r="B81" i="57"/>
  <c r="B34" i="57" l="1"/>
  <c r="B87" i="57"/>
  <c r="N206" i="41" l="1"/>
  <c r="M206" i="41"/>
  <c r="L206" i="41"/>
  <c r="K206" i="41"/>
  <c r="J206" i="41"/>
  <c r="I206" i="41"/>
  <c r="H206" i="41"/>
  <c r="G206" i="41"/>
  <c r="F206" i="41"/>
  <c r="D206" i="41"/>
  <c r="C206" i="41"/>
  <c r="B206" i="41"/>
  <c r="F2" i="53" l="1"/>
  <c r="F2" i="52"/>
  <c r="F2" i="51"/>
  <c r="F2" i="50"/>
  <c r="F2" i="49"/>
  <c r="F2" i="48"/>
  <c r="F2" i="47"/>
  <c r="F2" i="46"/>
  <c r="F2" i="45"/>
  <c r="O165" i="41" l="1"/>
  <c r="Q94" i="39" l="1"/>
  <c r="P73" i="39"/>
  <c r="T16" i="39" s="1"/>
  <c r="D12" i="54" s="1"/>
  <c r="O73" i="39"/>
  <c r="T15" i="39" s="1"/>
  <c r="D12" i="53" s="1"/>
  <c r="N73" i="39"/>
  <c r="T14" i="39" s="1"/>
  <c r="D12" i="52" s="1"/>
  <c r="M73" i="39"/>
  <c r="T13" i="39" s="1"/>
  <c r="L73" i="39"/>
  <c r="T12" i="39" s="1"/>
  <c r="D12" i="50" s="1"/>
  <c r="K73" i="39"/>
  <c r="T11" i="39" s="1"/>
  <c r="D12" i="49" s="1"/>
  <c r="J73" i="39"/>
  <c r="T10" i="39" s="1"/>
  <c r="D12" i="48" s="1"/>
  <c r="I73" i="39"/>
  <c r="T9" i="39" s="1"/>
  <c r="D12" i="47" s="1"/>
  <c r="H73" i="39"/>
  <c r="T8" i="39" s="1"/>
  <c r="D12" i="46" s="1"/>
  <c r="F73" i="39"/>
  <c r="T6" i="39" s="1"/>
  <c r="D12" i="45" s="1"/>
  <c r="E73" i="39"/>
  <c r="T5" i="39" s="1"/>
  <c r="D12" i="44" s="1"/>
  <c r="D73" i="39"/>
  <c r="Q52" i="39"/>
  <c r="P31" i="39"/>
  <c r="O31" i="39"/>
  <c r="N31" i="39"/>
  <c r="M31" i="39"/>
  <c r="L31" i="39"/>
  <c r="K31" i="39"/>
  <c r="J31" i="39"/>
  <c r="I31" i="39"/>
  <c r="H31" i="39"/>
  <c r="F31" i="39"/>
  <c r="E31" i="39"/>
  <c r="D31" i="39"/>
  <c r="D12" i="51" l="1"/>
  <c r="Q31" i="39"/>
  <c r="Q73" i="39"/>
  <c r="C4" i="43" l="1"/>
  <c r="D8" i="54" l="1"/>
  <c r="D8" i="47"/>
  <c r="I9" i="54"/>
  <c r="G9" i="54"/>
  <c r="D4" i="54"/>
  <c r="D3" i="54"/>
  <c r="I9" i="53"/>
  <c r="G9" i="53"/>
  <c r="D8" i="53"/>
  <c r="D4" i="53"/>
  <c r="D3" i="53"/>
  <c r="I9" i="52"/>
  <c r="G9" i="52"/>
  <c r="D4" i="52"/>
  <c r="D3" i="52"/>
  <c r="L207" i="41"/>
  <c r="L242" i="41" s="1"/>
  <c r="K119" i="41"/>
  <c r="J9" i="51" s="1"/>
  <c r="I9" i="51"/>
  <c r="G9" i="51"/>
  <c r="K55" i="41"/>
  <c r="K56" i="41"/>
  <c r="K57" i="41"/>
  <c r="K58" i="41"/>
  <c r="K59" i="41"/>
  <c r="K60" i="41"/>
  <c r="K61" i="41"/>
  <c r="K62" i="41"/>
  <c r="K63" i="41"/>
  <c r="K64" i="41"/>
  <c r="K65" i="41"/>
  <c r="K66" i="41"/>
  <c r="K3" i="41"/>
  <c r="K4" i="41"/>
  <c r="K5" i="41"/>
  <c r="K6" i="41"/>
  <c r="K7" i="41"/>
  <c r="K8" i="41"/>
  <c r="K9" i="41"/>
  <c r="K10" i="41"/>
  <c r="K11" i="41"/>
  <c r="K12" i="41"/>
  <c r="K13" i="41"/>
  <c r="K14" i="41"/>
  <c r="D4" i="51"/>
  <c r="D3" i="51"/>
  <c r="J207" i="41"/>
  <c r="J240" i="41" s="1"/>
  <c r="J119" i="41"/>
  <c r="J9" i="50" s="1"/>
  <c r="I9" i="50"/>
  <c r="G9" i="50"/>
  <c r="J55" i="41"/>
  <c r="J56" i="41"/>
  <c r="J57" i="41"/>
  <c r="J58" i="41"/>
  <c r="J59" i="41"/>
  <c r="J60" i="41"/>
  <c r="J61" i="41"/>
  <c r="J62" i="41"/>
  <c r="J63" i="41"/>
  <c r="J64" i="41"/>
  <c r="J65" i="41"/>
  <c r="J66" i="41"/>
  <c r="J3" i="41"/>
  <c r="J4" i="41"/>
  <c r="J5" i="41"/>
  <c r="J6" i="41"/>
  <c r="J7" i="41"/>
  <c r="J8" i="41"/>
  <c r="J9" i="41"/>
  <c r="J10" i="41"/>
  <c r="J11" i="41"/>
  <c r="J12" i="41"/>
  <c r="J13" i="41"/>
  <c r="J14" i="41"/>
  <c r="D8" i="50"/>
  <c r="D4" i="50"/>
  <c r="D3" i="50"/>
  <c r="I207" i="41"/>
  <c r="I119" i="41"/>
  <c r="J9" i="49" s="1"/>
  <c r="I55" i="41"/>
  <c r="I56" i="41"/>
  <c r="I57" i="41"/>
  <c r="I58" i="41"/>
  <c r="I59" i="41"/>
  <c r="I60" i="41"/>
  <c r="I61" i="41"/>
  <c r="I62" i="41"/>
  <c r="I63" i="41"/>
  <c r="I64" i="41"/>
  <c r="I65" i="41"/>
  <c r="I66" i="41"/>
  <c r="I3" i="41"/>
  <c r="I4" i="41"/>
  <c r="I5" i="41"/>
  <c r="I6" i="41"/>
  <c r="I7" i="41"/>
  <c r="I8" i="41"/>
  <c r="I9" i="41"/>
  <c r="I10" i="41"/>
  <c r="I11" i="41"/>
  <c r="I12" i="41"/>
  <c r="I13" i="41"/>
  <c r="I14" i="41"/>
  <c r="D8" i="49"/>
  <c r="D4" i="49"/>
  <c r="D3" i="49"/>
  <c r="H207" i="41"/>
  <c r="H242" i="41" s="1"/>
  <c r="H119" i="41"/>
  <c r="J9" i="48" s="1"/>
  <c r="I9" i="48"/>
  <c r="G9" i="48"/>
  <c r="H55" i="41"/>
  <c r="H56" i="41"/>
  <c r="H57" i="41"/>
  <c r="H58" i="41"/>
  <c r="H59" i="41"/>
  <c r="H60" i="41"/>
  <c r="H61" i="41"/>
  <c r="H62" i="41"/>
  <c r="H63" i="41"/>
  <c r="H64" i="41"/>
  <c r="H65" i="41"/>
  <c r="H66" i="41"/>
  <c r="H3" i="41"/>
  <c r="H4" i="41"/>
  <c r="H5" i="41"/>
  <c r="H6" i="41"/>
  <c r="H7" i="41"/>
  <c r="H8" i="41"/>
  <c r="H9" i="41"/>
  <c r="H10" i="41"/>
  <c r="H11" i="41"/>
  <c r="H12" i="41"/>
  <c r="H13" i="41"/>
  <c r="H14" i="41"/>
  <c r="D8" i="48"/>
  <c r="D4" i="48"/>
  <c r="D3" i="48"/>
  <c r="G207" i="41"/>
  <c r="G119" i="41"/>
  <c r="J9" i="47" s="1"/>
  <c r="I9" i="47"/>
  <c r="G9" i="47"/>
  <c r="G55" i="41"/>
  <c r="G56" i="41"/>
  <c r="G57" i="41"/>
  <c r="G58" i="41"/>
  <c r="G59" i="41"/>
  <c r="G60" i="41"/>
  <c r="G61" i="41"/>
  <c r="G62" i="41"/>
  <c r="G63" i="41"/>
  <c r="G64" i="41"/>
  <c r="G65" i="41"/>
  <c r="G66" i="41"/>
  <c r="G3" i="41"/>
  <c r="G4" i="41"/>
  <c r="G5" i="41"/>
  <c r="G6" i="41"/>
  <c r="G7" i="41"/>
  <c r="G8" i="41"/>
  <c r="G9" i="41"/>
  <c r="G10" i="41"/>
  <c r="G11" i="41"/>
  <c r="G12" i="41"/>
  <c r="G13" i="41"/>
  <c r="G14" i="41"/>
  <c r="D4" i="47"/>
  <c r="D4" i="45"/>
  <c r="D3" i="47"/>
  <c r="D3" i="46"/>
  <c r="D4" i="46"/>
  <c r="F207" i="41"/>
  <c r="F119" i="41"/>
  <c r="F129" i="41" s="1"/>
  <c r="I9" i="46"/>
  <c r="F55" i="41"/>
  <c r="F56" i="41"/>
  <c r="F57" i="41"/>
  <c r="F58" i="41"/>
  <c r="F59" i="41"/>
  <c r="F60" i="41"/>
  <c r="F61" i="41"/>
  <c r="F62" i="41"/>
  <c r="F63" i="41"/>
  <c r="F64" i="41"/>
  <c r="F65" i="41"/>
  <c r="F66" i="41"/>
  <c r="F3" i="41"/>
  <c r="F4" i="41"/>
  <c r="F5" i="41"/>
  <c r="F6" i="41"/>
  <c r="F7" i="41"/>
  <c r="F8" i="41"/>
  <c r="F9" i="41"/>
  <c r="F10" i="41"/>
  <c r="F11" i="41"/>
  <c r="F12" i="41"/>
  <c r="F13" i="41"/>
  <c r="F14" i="41"/>
  <c r="D10" i="43"/>
  <c r="D8" i="45"/>
  <c r="G9" i="46"/>
  <c r="D8" i="46"/>
  <c r="D207" i="41"/>
  <c r="D242" i="41" s="1"/>
  <c r="D119" i="41"/>
  <c r="J9" i="45" s="1"/>
  <c r="D55" i="41"/>
  <c r="D56" i="41"/>
  <c r="D57" i="41"/>
  <c r="D58" i="41"/>
  <c r="D59" i="41"/>
  <c r="D60" i="41"/>
  <c r="D61" i="41"/>
  <c r="D62" i="41"/>
  <c r="D63" i="41"/>
  <c r="D64" i="41"/>
  <c r="D65" i="41"/>
  <c r="D66" i="41"/>
  <c r="D3" i="41"/>
  <c r="D4" i="41"/>
  <c r="D5" i="41"/>
  <c r="D6" i="41"/>
  <c r="D7" i="41"/>
  <c r="D8" i="41"/>
  <c r="D9" i="41"/>
  <c r="D10" i="41"/>
  <c r="D11" i="41"/>
  <c r="D12" i="41"/>
  <c r="D13" i="41"/>
  <c r="D14" i="41"/>
  <c r="I9" i="45"/>
  <c r="G9" i="45"/>
  <c r="D3" i="45"/>
  <c r="C207" i="41"/>
  <c r="C239" i="41" s="1"/>
  <c r="C119" i="41"/>
  <c r="J9" i="44" s="1"/>
  <c r="C55" i="41"/>
  <c r="C56" i="41"/>
  <c r="C57" i="41"/>
  <c r="C58" i="41"/>
  <c r="C59" i="41"/>
  <c r="C60" i="41"/>
  <c r="C61" i="41"/>
  <c r="C62" i="41"/>
  <c r="C63" i="41"/>
  <c r="C64" i="41"/>
  <c r="C65" i="41"/>
  <c r="C66" i="41"/>
  <c r="C3" i="41"/>
  <c r="C4" i="41"/>
  <c r="C5" i="41"/>
  <c r="C6" i="41"/>
  <c r="C7" i="41"/>
  <c r="C8" i="41"/>
  <c r="C9" i="41"/>
  <c r="C10" i="41"/>
  <c r="C11" i="41"/>
  <c r="C12" i="41"/>
  <c r="C13" i="41"/>
  <c r="C14" i="41"/>
  <c r="I9" i="44"/>
  <c r="G9" i="44"/>
  <c r="D3" i="43"/>
  <c r="P30" i="39"/>
  <c r="O30" i="39"/>
  <c r="N30" i="39"/>
  <c r="M30" i="39"/>
  <c r="L30" i="39"/>
  <c r="K30" i="39"/>
  <c r="J30" i="39"/>
  <c r="I30" i="39"/>
  <c r="H30" i="39"/>
  <c r="F30" i="39"/>
  <c r="E30" i="39"/>
  <c r="D30" i="39"/>
  <c r="D12" i="43"/>
  <c r="B207" i="41"/>
  <c r="B240" i="41" s="1"/>
  <c r="B119" i="41"/>
  <c r="J9" i="43" s="1"/>
  <c r="B55" i="41"/>
  <c r="B56" i="41"/>
  <c r="B57" i="41"/>
  <c r="B58" i="41"/>
  <c r="B59" i="41"/>
  <c r="B60" i="41"/>
  <c r="B61" i="41"/>
  <c r="B62" i="41"/>
  <c r="B63" i="41"/>
  <c r="B64" i="41"/>
  <c r="B65" i="41"/>
  <c r="B66" i="41"/>
  <c r="I9" i="43"/>
  <c r="G9" i="43"/>
  <c r="D7" i="43"/>
  <c r="P72" i="39"/>
  <c r="O72" i="39"/>
  <c r="N72" i="39"/>
  <c r="M72" i="39"/>
  <c r="L72" i="39"/>
  <c r="K72" i="39"/>
  <c r="J72" i="39"/>
  <c r="I72" i="39"/>
  <c r="H72" i="39"/>
  <c r="F72" i="39"/>
  <c r="E72" i="39"/>
  <c r="D72" i="39"/>
  <c r="P71" i="39"/>
  <c r="O71" i="39"/>
  <c r="N71" i="39"/>
  <c r="M71" i="39"/>
  <c r="L71" i="39"/>
  <c r="K71" i="39"/>
  <c r="J71" i="39"/>
  <c r="I71" i="39"/>
  <c r="H71" i="39"/>
  <c r="F71" i="39"/>
  <c r="E71" i="39"/>
  <c r="D71" i="39"/>
  <c r="P70" i="39"/>
  <c r="O70" i="39"/>
  <c r="N70" i="39"/>
  <c r="M70" i="39"/>
  <c r="L70" i="39"/>
  <c r="K70" i="39"/>
  <c r="J70" i="39"/>
  <c r="I70" i="39"/>
  <c r="H70" i="39"/>
  <c r="F70" i="39"/>
  <c r="E70" i="39"/>
  <c r="D70" i="39"/>
  <c r="P69" i="39"/>
  <c r="O69" i="39"/>
  <c r="N69" i="39"/>
  <c r="M69" i="39"/>
  <c r="L69" i="39"/>
  <c r="K69" i="39"/>
  <c r="J69" i="39"/>
  <c r="I69" i="39"/>
  <c r="H69" i="39"/>
  <c r="F69" i="39"/>
  <c r="E69" i="39"/>
  <c r="D69" i="39"/>
  <c r="P68" i="39"/>
  <c r="O68" i="39"/>
  <c r="N68" i="39"/>
  <c r="M68" i="39"/>
  <c r="L68" i="39"/>
  <c r="K68" i="39"/>
  <c r="J68" i="39"/>
  <c r="I68" i="39"/>
  <c r="H68" i="39"/>
  <c r="F68" i="39"/>
  <c r="E68" i="39"/>
  <c r="D68" i="39"/>
  <c r="P67" i="39"/>
  <c r="O67" i="39"/>
  <c r="N67" i="39"/>
  <c r="M67" i="39"/>
  <c r="L67" i="39"/>
  <c r="K67" i="39"/>
  <c r="J67" i="39"/>
  <c r="I67" i="39"/>
  <c r="H67" i="39"/>
  <c r="F67" i="39"/>
  <c r="E67" i="39"/>
  <c r="D67" i="39"/>
  <c r="P66" i="39"/>
  <c r="O66" i="39"/>
  <c r="N66" i="39"/>
  <c r="M66" i="39"/>
  <c r="L66" i="39"/>
  <c r="K66" i="39"/>
  <c r="J66" i="39"/>
  <c r="I66" i="39"/>
  <c r="H66" i="39"/>
  <c r="F66" i="39"/>
  <c r="E66" i="39"/>
  <c r="D66" i="39"/>
  <c r="P65" i="39"/>
  <c r="O65" i="39"/>
  <c r="N65" i="39"/>
  <c r="M65" i="39"/>
  <c r="L65" i="39"/>
  <c r="K65" i="39"/>
  <c r="J65" i="39"/>
  <c r="I65" i="39"/>
  <c r="H65" i="39"/>
  <c r="F65" i="39"/>
  <c r="E65" i="39"/>
  <c r="D65" i="39"/>
  <c r="P64" i="39"/>
  <c r="O64" i="39"/>
  <c r="N64" i="39"/>
  <c r="M64" i="39"/>
  <c r="L64" i="39"/>
  <c r="K64" i="39"/>
  <c r="J64" i="39"/>
  <c r="I64" i="39"/>
  <c r="H64" i="39"/>
  <c r="F64" i="39"/>
  <c r="E64" i="39"/>
  <c r="D64" i="39"/>
  <c r="P29" i="39"/>
  <c r="O29" i="39"/>
  <c r="N29" i="39"/>
  <c r="M29" i="39"/>
  <c r="L29" i="39"/>
  <c r="K29" i="39"/>
  <c r="J29" i="39"/>
  <c r="I29" i="39"/>
  <c r="H29" i="39"/>
  <c r="F29" i="39"/>
  <c r="E29" i="39"/>
  <c r="D29" i="39"/>
  <c r="P28" i="39"/>
  <c r="O28" i="39"/>
  <c r="N28" i="39"/>
  <c r="M28" i="39"/>
  <c r="L28" i="39"/>
  <c r="K28" i="39"/>
  <c r="J28" i="39"/>
  <c r="I28" i="39"/>
  <c r="H28" i="39"/>
  <c r="F28" i="39"/>
  <c r="E28" i="39"/>
  <c r="D28" i="39"/>
  <c r="P27" i="39"/>
  <c r="O27" i="39"/>
  <c r="N27" i="39"/>
  <c r="M27" i="39"/>
  <c r="L27" i="39"/>
  <c r="K27" i="39"/>
  <c r="J27" i="39"/>
  <c r="I27" i="39"/>
  <c r="H27" i="39"/>
  <c r="F27" i="39"/>
  <c r="E27" i="39"/>
  <c r="D27" i="39"/>
  <c r="P26" i="39"/>
  <c r="O26" i="39"/>
  <c r="N26" i="39"/>
  <c r="M26" i="39"/>
  <c r="L26" i="39"/>
  <c r="K26" i="39"/>
  <c r="J26" i="39"/>
  <c r="I26" i="39"/>
  <c r="H26" i="39"/>
  <c r="F26" i="39"/>
  <c r="E26" i="39"/>
  <c r="D26" i="39"/>
  <c r="P25" i="39"/>
  <c r="O25" i="39"/>
  <c r="N25" i="39"/>
  <c r="M25" i="39"/>
  <c r="L25" i="39"/>
  <c r="K25" i="39"/>
  <c r="J25" i="39"/>
  <c r="I25" i="39"/>
  <c r="H25" i="39"/>
  <c r="F25" i="39"/>
  <c r="E25" i="39"/>
  <c r="D25" i="39"/>
  <c r="P24" i="39"/>
  <c r="O24" i="39"/>
  <c r="N24" i="39"/>
  <c r="M24" i="39"/>
  <c r="L24" i="39"/>
  <c r="K24" i="39"/>
  <c r="J24" i="39"/>
  <c r="I24" i="39"/>
  <c r="H24" i="39"/>
  <c r="F24" i="39"/>
  <c r="E24" i="39"/>
  <c r="D24" i="39"/>
  <c r="P23" i="39"/>
  <c r="O23" i="39"/>
  <c r="N23" i="39"/>
  <c r="M23" i="39"/>
  <c r="L23" i="39"/>
  <c r="K23" i="39"/>
  <c r="J23" i="39"/>
  <c r="I23" i="39"/>
  <c r="H23" i="39"/>
  <c r="F23" i="39"/>
  <c r="E23" i="39"/>
  <c r="D23" i="39"/>
  <c r="P22" i="39"/>
  <c r="O22" i="39"/>
  <c r="N22" i="39"/>
  <c r="M22" i="39"/>
  <c r="L22" i="39"/>
  <c r="K22" i="39"/>
  <c r="J22" i="39"/>
  <c r="I22" i="39"/>
  <c r="H22" i="39"/>
  <c r="F22" i="39"/>
  <c r="E22" i="39"/>
  <c r="D22" i="39"/>
  <c r="Q92" i="39"/>
  <c r="Q51" i="39"/>
  <c r="Q50" i="39"/>
  <c r="Q49" i="39"/>
  <c r="Q48" i="39"/>
  <c r="Q47" i="39"/>
  <c r="Q46" i="39"/>
  <c r="Q45" i="39"/>
  <c r="Q43" i="39"/>
  <c r="Q93" i="39"/>
  <c r="Q91" i="39"/>
  <c r="Q90" i="39"/>
  <c r="Q89" i="39"/>
  <c r="Q88" i="39"/>
  <c r="Q87" i="39"/>
  <c r="Q86" i="39"/>
  <c r="Q85" i="39"/>
  <c r="Q44" i="39"/>
  <c r="B3" i="41"/>
  <c r="B4" i="41"/>
  <c r="B5" i="41"/>
  <c r="B6" i="41"/>
  <c r="B7" i="41"/>
  <c r="B8" i="41"/>
  <c r="B9" i="41"/>
  <c r="B10" i="41"/>
  <c r="B11" i="41"/>
  <c r="B12" i="41"/>
  <c r="B13" i="41"/>
  <c r="B14" i="41"/>
  <c r="N258" i="41"/>
  <c r="M258" i="41"/>
  <c r="L258" i="41"/>
  <c r="J258" i="41"/>
  <c r="I258" i="41"/>
  <c r="H258" i="41"/>
  <c r="G258" i="41"/>
  <c r="F258" i="41"/>
  <c r="D258" i="41"/>
  <c r="C258" i="41"/>
  <c r="B258" i="41"/>
  <c r="N257" i="41"/>
  <c r="M257" i="41"/>
  <c r="L257" i="41"/>
  <c r="J257" i="41"/>
  <c r="I257" i="41"/>
  <c r="H257" i="41"/>
  <c r="G257" i="41"/>
  <c r="F257" i="41"/>
  <c r="D257" i="41"/>
  <c r="C257" i="41"/>
  <c r="B257" i="41"/>
  <c r="N256" i="41"/>
  <c r="M256" i="41"/>
  <c r="L256" i="41"/>
  <c r="J256" i="41"/>
  <c r="I256" i="41"/>
  <c r="H256" i="41"/>
  <c r="G256" i="41"/>
  <c r="F256" i="41"/>
  <c r="D256" i="41"/>
  <c r="C256" i="41"/>
  <c r="B256" i="41"/>
  <c r="N255" i="41"/>
  <c r="M255" i="41"/>
  <c r="L255" i="41"/>
  <c r="J255" i="41"/>
  <c r="I255" i="41"/>
  <c r="H255" i="41"/>
  <c r="G255" i="41"/>
  <c r="F255" i="41"/>
  <c r="D255" i="41"/>
  <c r="C255" i="41"/>
  <c r="B255" i="41"/>
  <c r="N254" i="41"/>
  <c r="M254" i="41"/>
  <c r="L254" i="41"/>
  <c r="J254" i="41"/>
  <c r="I254" i="41"/>
  <c r="H254" i="41"/>
  <c r="G254" i="41"/>
  <c r="F254" i="41"/>
  <c r="D254" i="41"/>
  <c r="C254" i="41"/>
  <c r="B254" i="41"/>
  <c r="N253" i="41"/>
  <c r="M253" i="41"/>
  <c r="L253" i="41"/>
  <c r="J253" i="41"/>
  <c r="I253" i="41"/>
  <c r="H253" i="41"/>
  <c r="G253" i="41"/>
  <c r="F253" i="41"/>
  <c r="D253" i="41"/>
  <c r="C253" i="41"/>
  <c r="B253" i="41"/>
  <c r="N252" i="41"/>
  <c r="M252" i="41"/>
  <c r="L252" i="41"/>
  <c r="J252" i="41"/>
  <c r="I252" i="41"/>
  <c r="H252" i="41"/>
  <c r="G252" i="41"/>
  <c r="F252" i="41"/>
  <c r="D252" i="41"/>
  <c r="C252" i="41"/>
  <c r="B252" i="41"/>
  <c r="N251" i="41"/>
  <c r="M251" i="41"/>
  <c r="L251" i="41"/>
  <c r="J251" i="41"/>
  <c r="I251" i="41"/>
  <c r="H251" i="41"/>
  <c r="G251" i="41"/>
  <c r="F251" i="41"/>
  <c r="D251" i="41"/>
  <c r="C251" i="41"/>
  <c r="B251" i="41"/>
  <c r="N250" i="41"/>
  <c r="M250" i="41"/>
  <c r="L250" i="41"/>
  <c r="J250" i="41"/>
  <c r="I250" i="41"/>
  <c r="H250" i="41"/>
  <c r="G250" i="41"/>
  <c r="F250" i="41"/>
  <c r="D250" i="41"/>
  <c r="C250" i="41"/>
  <c r="B250" i="41"/>
  <c r="N249" i="41"/>
  <c r="M249" i="41"/>
  <c r="L249" i="41"/>
  <c r="J249" i="41"/>
  <c r="I249" i="41"/>
  <c r="H249" i="41"/>
  <c r="G249" i="41"/>
  <c r="F249" i="41"/>
  <c r="D249" i="41"/>
  <c r="C249" i="41"/>
  <c r="B249" i="41"/>
  <c r="N248" i="41"/>
  <c r="M248" i="41"/>
  <c r="L248" i="41"/>
  <c r="J248" i="41"/>
  <c r="I248" i="41"/>
  <c r="H248" i="41"/>
  <c r="G248" i="41"/>
  <c r="F248" i="41"/>
  <c r="D248" i="41"/>
  <c r="C248" i="41"/>
  <c r="B248" i="41"/>
  <c r="M207" i="41"/>
  <c r="N207" i="41"/>
  <c r="D4" i="43"/>
  <c r="O164" i="41"/>
  <c r="O162" i="41"/>
  <c r="O161" i="41"/>
  <c r="O160" i="41"/>
  <c r="O159" i="41"/>
  <c r="O158" i="41"/>
  <c r="O157" i="41"/>
  <c r="O163" i="41"/>
  <c r="Q17" i="39"/>
  <c r="P17" i="39"/>
  <c r="B149" i="41"/>
  <c r="K143" i="41"/>
  <c r="O121" i="41"/>
  <c r="M118" i="41"/>
  <c r="I118" i="41"/>
  <c r="G142" i="41"/>
  <c r="D118" i="41"/>
  <c r="N66" i="41"/>
  <c r="M66" i="41"/>
  <c r="L66" i="41"/>
  <c r="N65" i="41"/>
  <c r="M65" i="41"/>
  <c r="L65" i="41"/>
  <c r="N64" i="41"/>
  <c r="M64" i="41"/>
  <c r="L64" i="41"/>
  <c r="N63" i="41"/>
  <c r="M63" i="41"/>
  <c r="L63" i="41"/>
  <c r="N62" i="41"/>
  <c r="M62" i="41"/>
  <c r="L62" i="41"/>
  <c r="N61" i="41"/>
  <c r="M61" i="41"/>
  <c r="L61" i="41"/>
  <c r="N60" i="41"/>
  <c r="M60" i="41"/>
  <c r="L60" i="41"/>
  <c r="N59" i="41"/>
  <c r="M59" i="41"/>
  <c r="L59" i="41"/>
  <c r="N58" i="41"/>
  <c r="M58" i="41"/>
  <c r="L58" i="41"/>
  <c r="N57" i="41"/>
  <c r="M57" i="41"/>
  <c r="L57" i="41"/>
  <c r="N56" i="41"/>
  <c r="M56" i="41"/>
  <c r="L56" i="41"/>
  <c r="N55" i="41"/>
  <c r="M55" i="41"/>
  <c r="L55" i="41"/>
  <c r="O69" i="41"/>
  <c r="AD67" i="41"/>
  <c r="AC67" i="41"/>
  <c r="AB67" i="41"/>
  <c r="AA67" i="41"/>
  <c r="Z67" i="41"/>
  <c r="Y67" i="41"/>
  <c r="X67" i="41"/>
  <c r="W67" i="41"/>
  <c r="V67" i="41"/>
  <c r="T67" i="41"/>
  <c r="S67" i="41"/>
  <c r="R67" i="41"/>
  <c r="AE66" i="41"/>
  <c r="AE65" i="41"/>
  <c r="AE64" i="41"/>
  <c r="AE63" i="41"/>
  <c r="AE62" i="41"/>
  <c r="AE61" i="41"/>
  <c r="AE60" i="41"/>
  <c r="AE59" i="41"/>
  <c r="AE58" i="41"/>
  <c r="AE57" i="41"/>
  <c r="AE56" i="41"/>
  <c r="AE55" i="41"/>
  <c r="B143" i="41"/>
  <c r="G144" i="41"/>
  <c r="K145" i="41"/>
  <c r="B146" i="41"/>
  <c r="G147" i="41"/>
  <c r="B148" i="41"/>
  <c r="K148" i="41"/>
  <c r="K149" i="41"/>
  <c r="B151" i="41"/>
  <c r="G151" i="41"/>
  <c r="B152" i="41"/>
  <c r="K152" i="41"/>
  <c r="B145" i="41"/>
  <c r="G150" i="41"/>
  <c r="G146" i="41"/>
  <c r="K151" i="41"/>
  <c r="G143" i="41"/>
  <c r="B144" i="41"/>
  <c r="K144" i="41"/>
  <c r="B147" i="41"/>
  <c r="G148" i="41"/>
  <c r="B150" i="41"/>
  <c r="G152" i="41"/>
  <c r="K147" i="41"/>
  <c r="D142" i="41"/>
  <c r="I142" i="41"/>
  <c r="M142" i="41"/>
  <c r="D143" i="41"/>
  <c r="I143" i="41"/>
  <c r="M143" i="41"/>
  <c r="D144" i="41"/>
  <c r="I144" i="41"/>
  <c r="M144" i="41"/>
  <c r="D145" i="41"/>
  <c r="I145" i="41"/>
  <c r="M145" i="41"/>
  <c r="D146" i="41"/>
  <c r="I146" i="41"/>
  <c r="M146" i="41"/>
  <c r="D147" i="41"/>
  <c r="I147" i="41"/>
  <c r="M147" i="41"/>
  <c r="D148" i="41"/>
  <c r="I148" i="41"/>
  <c r="M148" i="41"/>
  <c r="D149" i="41"/>
  <c r="I149" i="41"/>
  <c r="M149" i="41"/>
  <c r="D150" i="41"/>
  <c r="I150" i="41"/>
  <c r="M150" i="41"/>
  <c r="D151" i="41"/>
  <c r="I151" i="41"/>
  <c r="M151" i="41"/>
  <c r="D152" i="41"/>
  <c r="I152" i="41"/>
  <c r="M152" i="41"/>
  <c r="K142" i="41"/>
  <c r="G145" i="41"/>
  <c r="K146" i="41"/>
  <c r="G149" i="41"/>
  <c r="K150" i="41"/>
  <c r="L118" i="41"/>
  <c r="O109" i="41"/>
  <c r="O113" i="41"/>
  <c r="O117" i="41"/>
  <c r="H143" i="41"/>
  <c r="F145" i="41"/>
  <c r="L147" i="41"/>
  <c r="J149" i="41"/>
  <c r="H151" i="41"/>
  <c r="L151" i="41"/>
  <c r="J142" i="41"/>
  <c r="C144" i="41"/>
  <c r="L144" i="41"/>
  <c r="J146" i="41"/>
  <c r="H148" i="41"/>
  <c r="O114" i="41"/>
  <c r="F150" i="41"/>
  <c r="N150" i="41"/>
  <c r="C152" i="41"/>
  <c r="L152" i="41"/>
  <c r="C142" i="41"/>
  <c r="H142" i="41"/>
  <c r="L142" i="41"/>
  <c r="O108" i="41"/>
  <c r="F144" i="41"/>
  <c r="J144" i="41"/>
  <c r="N144" i="41"/>
  <c r="C146" i="41"/>
  <c r="H146" i="41"/>
  <c r="L146" i="41"/>
  <c r="O112" i="41"/>
  <c r="F148" i="41"/>
  <c r="J148" i="41"/>
  <c r="N148" i="41"/>
  <c r="C150" i="41"/>
  <c r="H150" i="41"/>
  <c r="L150" i="41"/>
  <c r="O116" i="41"/>
  <c r="F152" i="41"/>
  <c r="J152" i="41"/>
  <c r="N152" i="41"/>
  <c r="C143" i="41"/>
  <c r="L143" i="41"/>
  <c r="J145" i="41"/>
  <c r="N145" i="41"/>
  <c r="C147" i="41"/>
  <c r="H147" i="41"/>
  <c r="F149" i="41"/>
  <c r="N149" i="41"/>
  <c r="C151" i="41"/>
  <c r="L119" i="41"/>
  <c r="J9" i="52" s="1"/>
  <c r="B118" i="41"/>
  <c r="O106" i="41"/>
  <c r="G118" i="41"/>
  <c r="K118" i="41"/>
  <c r="F142" i="41"/>
  <c r="N142" i="41"/>
  <c r="H144" i="41"/>
  <c r="O110" i="41"/>
  <c r="F146" i="41"/>
  <c r="N146" i="41"/>
  <c r="C148" i="41"/>
  <c r="L148" i="41"/>
  <c r="J150" i="41"/>
  <c r="H152" i="41"/>
  <c r="C118" i="41"/>
  <c r="N119" i="41"/>
  <c r="J9" i="54" s="1"/>
  <c r="O107" i="41"/>
  <c r="F143" i="41"/>
  <c r="J143" i="41"/>
  <c r="N143" i="41"/>
  <c r="C145" i="41"/>
  <c r="H145" i="41"/>
  <c r="L145" i="41"/>
  <c r="O111" i="41"/>
  <c r="F147" i="41"/>
  <c r="J147" i="41"/>
  <c r="N147" i="41"/>
  <c r="C149" i="41"/>
  <c r="H149" i="41"/>
  <c r="L149" i="41"/>
  <c r="O115" i="41"/>
  <c r="F151" i="41"/>
  <c r="J151" i="41"/>
  <c r="N151" i="41"/>
  <c r="F118" i="41"/>
  <c r="N118" i="41"/>
  <c r="B142" i="41"/>
  <c r="M119" i="41"/>
  <c r="J9" i="53" s="1"/>
  <c r="N14" i="41"/>
  <c r="M14" i="41"/>
  <c r="L14" i="41"/>
  <c r="N13" i="41"/>
  <c r="M13" i="41"/>
  <c r="L13" i="41"/>
  <c r="N12" i="41"/>
  <c r="M12" i="41"/>
  <c r="L12" i="41"/>
  <c r="N11" i="41"/>
  <c r="M11" i="41"/>
  <c r="L11" i="41"/>
  <c r="N10" i="41"/>
  <c r="M10" i="41"/>
  <c r="L10" i="41"/>
  <c r="N9" i="41"/>
  <c r="M9" i="41"/>
  <c r="L9" i="41"/>
  <c r="N8" i="41"/>
  <c r="M8" i="41"/>
  <c r="L8" i="41"/>
  <c r="N7" i="41"/>
  <c r="M7" i="41"/>
  <c r="L7" i="41"/>
  <c r="N6" i="41"/>
  <c r="M6" i="41"/>
  <c r="L6" i="41"/>
  <c r="N5" i="41"/>
  <c r="M5" i="41"/>
  <c r="L5" i="41"/>
  <c r="N4" i="41"/>
  <c r="M4" i="41"/>
  <c r="L4" i="41"/>
  <c r="N3" i="41"/>
  <c r="M3" i="41"/>
  <c r="L3" i="41"/>
  <c r="AD15" i="41"/>
  <c r="AC15" i="41"/>
  <c r="AB15" i="41"/>
  <c r="AA15" i="41"/>
  <c r="Z15" i="41"/>
  <c r="Y15" i="41"/>
  <c r="X15" i="41"/>
  <c r="W15" i="41"/>
  <c r="V15" i="41"/>
  <c r="T15" i="41"/>
  <c r="S15" i="41"/>
  <c r="R15" i="41"/>
  <c r="R17" i="39"/>
  <c r="O17" i="39"/>
  <c r="D7" i="54"/>
  <c r="D7" i="53"/>
  <c r="D7" i="50"/>
  <c r="D7" i="49"/>
  <c r="D7" i="48"/>
  <c r="D7" i="47"/>
  <c r="D7" i="46"/>
  <c r="D7" i="45"/>
  <c r="S17" i="39"/>
  <c r="D17" i="39"/>
  <c r="J90" i="41" l="1"/>
  <c r="F45" i="41"/>
  <c r="L240" i="41"/>
  <c r="L239" i="41"/>
  <c r="L241" i="41"/>
  <c r="I94" i="41"/>
  <c r="H99" i="41"/>
  <c r="C136" i="41"/>
  <c r="K133" i="41"/>
  <c r="C126" i="41"/>
  <c r="I97" i="41"/>
  <c r="K98" i="41"/>
  <c r="C125" i="41"/>
  <c r="C127" i="41"/>
  <c r="C131" i="41"/>
  <c r="K99" i="41"/>
  <c r="H91" i="41"/>
  <c r="K130" i="41"/>
  <c r="K132" i="41"/>
  <c r="K127" i="41"/>
  <c r="I133" i="41"/>
  <c r="I130" i="41"/>
  <c r="G41" i="41"/>
  <c r="F46" i="41"/>
  <c r="D40" i="41"/>
  <c r="G42" i="41"/>
  <c r="K43" i="41"/>
  <c r="I128" i="41"/>
  <c r="C48" i="41"/>
  <c r="G40" i="41"/>
  <c r="I132" i="41"/>
  <c r="D41" i="41"/>
  <c r="K44" i="41"/>
  <c r="J241" i="41"/>
  <c r="G96" i="41"/>
  <c r="J239" i="41"/>
  <c r="K42" i="41"/>
  <c r="G91" i="41"/>
  <c r="I127" i="41"/>
  <c r="G43" i="41"/>
  <c r="F93" i="41"/>
  <c r="H44" i="41"/>
  <c r="J98" i="41"/>
  <c r="D48" i="41"/>
  <c r="F94" i="41"/>
  <c r="H45" i="41"/>
  <c r="I40" i="41"/>
  <c r="K93" i="41"/>
  <c r="D96" i="41"/>
  <c r="F38" i="41"/>
  <c r="K90" i="41"/>
  <c r="C135" i="41"/>
  <c r="C128" i="41"/>
  <c r="C132" i="41"/>
  <c r="F127" i="41"/>
  <c r="C134" i="41"/>
  <c r="F126" i="41"/>
  <c r="C129" i="41"/>
  <c r="C130" i="41"/>
  <c r="C133" i="41"/>
  <c r="H43" i="41"/>
  <c r="H239" i="41"/>
  <c r="J242" i="41"/>
  <c r="H241" i="41"/>
  <c r="H240" i="41"/>
  <c r="D127" i="41"/>
  <c r="I48" i="41"/>
  <c r="B239" i="41"/>
  <c r="B241" i="41"/>
  <c r="H94" i="41"/>
  <c r="D239" i="41"/>
  <c r="B242" i="41"/>
  <c r="J97" i="41"/>
  <c r="C40" i="41"/>
  <c r="G48" i="41"/>
  <c r="N239" i="41"/>
  <c r="N238" i="41"/>
  <c r="N232" i="41"/>
  <c r="N233" i="41"/>
  <c r="N236" i="41"/>
  <c r="N234" i="41"/>
  <c r="N237" i="41"/>
  <c r="N235" i="41"/>
  <c r="N231" i="41"/>
  <c r="B236" i="41"/>
  <c r="B237" i="41"/>
  <c r="B231" i="41"/>
  <c r="B232" i="41"/>
  <c r="B234" i="41"/>
  <c r="B235" i="41"/>
  <c r="B238" i="41"/>
  <c r="B233" i="41"/>
  <c r="D238" i="41"/>
  <c r="D236" i="41"/>
  <c r="D233" i="41"/>
  <c r="D237" i="41"/>
  <c r="D232" i="41"/>
  <c r="D235" i="41"/>
  <c r="D231" i="41"/>
  <c r="D234" i="41"/>
  <c r="F235" i="41"/>
  <c r="F231" i="41"/>
  <c r="F238" i="41"/>
  <c r="F233" i="41"/>
  <c r="F232" i="41"/>
  <c r="F236" i="41"/>
  <c r="F237" i="41"/>
  <c r="F234" i="41"/>
  <c r="C240" i="41"/>
  <c r="C233" i="41"/>
  <c r="C235" i="41"/>
  <c r="C236" i="41"/>
  <c r="C231" i="41"/>
  <c r="C234" i="41"/>
  <c r="C237" i="41"/>
  <c r="C232" i="41"/>
  <c r="C238" i="41"/>
  <c r="L236" i="41"/>
  <c r="L231" i="41"/>
  <c r="L238" i="41"/>
  <c r="L233" i="41"/>
  <c r="L234" i="41"/>
  <c r="L232" i="41"/>
  <c r="L237" i="41"/>
  <c r="L235" i="41"/>
  <c r="M233" i="41"/>
  <c r="M236" i="41"/>
  <c r="M235" i="41"/>
  <c r="M238" i="41"/>
  <c r="M231" i="41"/>
  <c r="M237" i="41"/>
  <c r="M232" i="41"/>
  <c r="M234" i="41"/>
  <c r="G232" i="41"/>
  <c r="G236" i="41"/>
  <c r="G231" i="41"/>
  <c r="G235" i="41"/>
  <c r="G238" i="41"/>
  <c r="G233" i="41"/>
  <c r="G234" i="41"/>
  <c r="G237" i="41"/>
  <c r="H237" i="41"/>
  <c r="H236" i="41"/>
  <c r="H232" i="41"/>
  <c r="H238" i="41"/>
  <c r="H235" i="41"/>
  <c r="H233" i="41"/>
  <c r="H234" i="41"/>
  <c r="H231" i="41"/>
  <c r="I234" i="41"/>
  <c r="I236" i="41"/>
  <c r="I231" i="41"/>
  <c r="I237" i="41"/>
  <c r="I238" i="41"/>
  <c r="I233" i="41"/>
  <c r="I232" i="41"/>
  <c r="I235" i="41"/>
  <c r="J231" i="41"/>
  <c r="J236" i="41"/>
  <c r="J234" i="41"/>
  <c r="J235" i="41"/>
  <c r="J237" i="41"/>
  <c r="J233" i="41"/>
  <c r="J232" i="41"/>
  <c r="J238" i="41"/>
  <c r="D130" i="41"/>
  <c r="D126" i="41"/>
  <c r="D133" i="41"/>
  <c r="I131" i="41"/>
  <c r="I136" i="41"/>
  <c r="D128" i="41"/>
  <c r="I135" i="41"/>
  <c r="D125" i="41"/>
  <c r="D136" i="41"/>
  <c r="I126" i="41"/>
  <c r="D131" i="41"/>
  <c r="I134" i="41"/>
  <c r="D135" i="41"/>
  <c r="I129" i="41"/>
  <c r="I125" i="41"/>
  <c r="D132" i="41"/>
  <c r="D134" i="41"/>
  <c r="B136" i="41"/>
  <c r="D129" i="41"/>
  <c r="F131" i="41"/>
  <c r="F135" i="41"/>
  <c r="F125" i="41"/>
  <c r="F133" i="41"/>
  <c r="F128" i="41"/>
  <c r="F136" i="41"/>
  <c r="D97" i="41"/>
  <c r="B93" i="41"/>
  <c r="J42" i="41"/>
  <c r="J44" i="41"/>
  <c r="T17" i="39"/>
  <c r="G99" i="41"/>
  <c r="J41" i="41"/>
  <c r="B98" i="41"/>
  <c r="M97" i="41"/>
  <c r="N39" i="41"/>
  <c r="G47" i="41"/>
  <c r="H136" i="41"/>
  <c r="H127" i="41"/>
  <c r="H131" i="41"/>
  <c r="H135" i="41"/>
  <c r="H130" i="41"/>
  <c r="H134" i="41"/>
  <c r="H126" i="41"/>
  <c r="H129" i="41"/>
  <c r="H125" i="41"/>
  <c r="H133" i="41"/>
  <c r="H128" i="41"/>
  <c r="H132" i="41"/>
  <c r="M92" i="41"/>
  <c r="L95" i="41"/>
  <c r="J43" i="41"/>
  <c r="H42" i="41"/>
  <c r="D47" i="41"/>
  <c r="B48" i="41"/>
  <c r="B41" i="41"/>
  <c r="D39" i="41"/>
  <c r="L90" i="41"/>
  <c r="N92" i="41"/>
  <c r="M95" i="41"/>
  <c r="N97" i="41"/>
  <c r="M100" i="41"/>
  <c r="C47" i="41"/>
  <c r="C39" i="41"/>
  <c r="C95" i="41"/>
  <c r="J48" i="41"/>
  <c r="J40" i="41"/>
  <c r="J96" i="41"/>
  <c r="K41" i="41"/>
  <c r="K97" i="41"/>
  <c r="N96" i="41"/>
  <c r="I45" i="41"/>
  <c r="I93" i="41"/>
  <c r="C241" i="41"/>
  <c r="H98" i="41"/>
  <c r="H90" i="41"/>
  <c r="D240" i="41"/>
  <c r="D241" i="41"/>
  <c r="G39" i="41"/>
  <c r="G95" i="41"/>
  <c r="C242" i="41"/>
  <c r="O167" i="41"/>
  <c r="L100" i="41"/>
  <c r="I90" i="41"/>
  <c r="B94" i="41"/>
  <c r="L129" i="41"/>
  <c r="K128" i="41"/>
  <c r="K134" i="41"/>
  <c r="K136" i="41"/>
  <c r="B97" i="41"/>
  <c r="C43" i="41"/>
  <c r="C99" i="41"/>
  <c r="C91" i="41"/>
  <c r="H46" i="41"/>
  <c r="H38" i="41"/>
  <c r="I41" i="41"/>
  <c r="K131" i="41"/>
  <c r="M40" i="41"/>
  <c r="K125" i="41"/>
  <c r="K135" i="41"/>
  <c r="K129" i="41"/>
  <c r="K126" i="41"/>
  <c r="B99" i="41"/>
  <c r="B91" i="41"/>
  <c r="D93" i="41"/>
  <c r="M43" i="41"/>
  <c r="L46" i="41"/>
  <c r="N48" i="41"/>
  <c r="B47" i="41"/>
  <c r="C45" i="41"/>
  <c r="Q68" i="39"/>
  <c r="Q72" i="39"/>
  <c r="N130" i="41"/>
  <c r="Q66" i="39"/>
  <c r="Q70" i="39"/>
  <c r="M91" i="41"/>
  <c r="L94" i="41"/>
  <c r="J126" i="41"/>
  <c r="J135" i="41"/>
  <c r="L42" i="41"/>
  <c r="Q64" i="39"/>
  <c r="B40" i="41"/>
  <c r="B46" i="41"/>
  <c r="K45" i="41"/>
  <c r="M93" i="41"/>
  <c r="M98" i="41"/>
  <c r="L96" i="41"/>
  <c r="Q22" i="39"/>
  <c r="Q24" i="39"/>
  <c r="Q26" i="39"/>
  <c r="Q28" i="39"/>
  <c r="Q65" i="39"/>
  <c r="Q67" i="39"/>
  <c r="Q69" i="39"/>
  <c r="Q71" i="39"/>
  <c r="Q23" i="39"/>
  <c r="Q25" i="39"/>
  <c r="Q27" i="39"/>
  <c r="L99" i="41"/>
  <c r="B38" i="41"/>
  <c r="B43" i="41"/>
  <c r="D44" i="41"/>
  <c r="M38" i="41"/>
  <c r="N43" i="41"/>
  <c r="M46" i="41"/>
  <c r="L40" i="41"/>
  <c r="N42" i="41"/>
  <c r="M45" i="41"/>
  <c r="L48" i="41"/>
  <c r="N134" i="41"/>
  <c r="L133" i="41"/>
  <c r="N127" i="41"/>
  <c r="N131" i="41"/>
  <c r="L125" i="41"/>
  <c r="N135" i="41"/>
  <c r="N128" i="41"/>
  <c r="L128" i="41"/>
  <c r="L136" i="41"/>
  <c r="N125" i="41"/>
  <c r="N132" i="41"/>
  <c r="L132" i="41"/>
  <c r="L127" i="41"/>
  <c r="N129" i="41"/>
  <c r="N136" i="41"/>
  <c r="L126" i="41"/>
  <c r="L131" i="41"/>
  <c r="N133" i="41"/>
  <c r="L130" i="41"/>
  <c r="L135" i="41"/>
  <c r="N126" i="41"/>
  <c r="L134" i="41"/>
  <c r="M39" i="41"/>
  <c r="N44" i="41"/>
  <c r="N38" i="41"/>
  <c r="M41" i="41"/>
  <c r="L41" i="41"/>
  <c r="B96" i="41"/>
  <c r="M94" i="41"/>
  <c r="C46" i="41"/>
  <c r="M42" i="41"/>
  <c r="C10" i="59"/>
  <c r="N17" i="39"/>
  <c r="C9" i="59"/>
  <c r="G135" i="41"/>
  <c r="G126" i="41"/>
  <c r="N241" i="41"/>
  <c r="N240" i="41"/>
  <c r="M99" i="41"/>
  <c r="B45" i="41"/>
  <c r="C94" i="41"/>
  <c r="D46" i="41"/>
  <c r="D38" i="41"/>
  <c r="G46" i="41"/>
  <c r="G38" i="41"/>
  <c r="H41" i="41"/>
  <c r="I44" i="41"/>
  <c r="J47" i="41"/>
  <c r="J39" i="41"/>
  <c r="J95" i="41"/>
  <c r="K48" i="41"/>
  <c r="K40" i="41"/>
  <c r="C38" i="41"/>
  <c r="L47" i="41"/>
  <c r="M90" i="41"/>
  <c r="N95" i="41"/>
  <c r="L98" i="41"/>
  <c r="G125" i="41"/>
  <c r="G130" i="41"/>
  <c r="G129" i="41"/>
  <c r="G134" i="41"/>
  <c r="G133" i="41"/>
  <c r="G128" i="41"/>
  <c r="G132" i="41"/>
  <c r="G136" i="41"/>
  <c r="G127" i="41"/>
  <c r="G131" i="41"/>
  <c r="J130" i="41"/>
  <c r="J125" i="41"/>
  <c r="B44" i="41"/>
  <c r="F42" i="41"/>
  <c r="G100" i="41"/>
  <c r="H48" i="41"/>
  <c r="H95" i="41"/>
  <c r="I98" i="41"/>
  <c r="J93" i="41"/>
  <c r="J134" i="41"/>
  <c r="J129" i="41"/>
  <c r="O6" i="41"/>
  <c r="J133" i="41"/>
  <c r="M96" i="41"/>
  <c r="M44" i="41"/>
  <c r="J46" i="41"/>
  <c r="J132" i="41"/>
  <c r="I239" i="41"/>
  <c r="J136" i="41"/>
  <c r="L38" i="41"/>
  <c r="L91" i="41"/>
  <c r="N93" i="41"/>
  <c r="N98" i="41"/>
  <c r="I241" i="41"/>
  <c r="D45" i="41"/>
  <c r="J127" i="41"/>
  <c r="M47" i="41"/>
  <c r="I240" i="41"/>
  <c r="I242" i="41"/>
  <c r="J128" i="41"/>
  <c r="J131" i="41"/>
  <c r="L45" i="41"/>
  <c r="N47" i="41"/>
  <c r="F98" i="41"/>
  <c r="F90" i="41"/>
  <c r="G68" i="41"/>
  <c r="G77" i="41" s="1"/>
  <c r="K95" i="41"/>
  <c r="B90" i="41"/>
  <c r="D100" i="41"/>
  <c r="D92" i="41"/>
  <c r="O10" i="41"/>
  <c r="H39" i="41"/>
  <c r="I42" i="41"/>
  <c r="O11" i="41"/>
  <c r="O3" i="41"/>
  <c r="K38" i="41"/>
  <c r="B42" i="41"/>
  <c r="M240" i="41"/>
  <c r="G240" i="41"/>
  <c r="N242" i="41"/>
  <c r="F41" i="41"/>
  <c r="G45" i="41"/>
  <c r="J94" i="41"/>
  <c r="D43" i="41"/>
  <c r="O14" i="41"/>
  <c r="F97" i="41"/>
  <c r="G44" i="41"/>
  <c r="O7" i="41"/>
  <c r="C98" i="41"/>
  <c r="C90" i="41"/>
  <c r="O12" i="41"/>
  <c r="L92" i="41"/>
  <c r="N99" i="41"/>
  <c r="B16" i="41"/>
  <c r="B29" i="41" s="1"/>
  <c r="H100" i="41"/>
  <c r="K100" i="41"/>
  <c r="C44" i="41"/>
  <c r="C100" i="41"/>
  <c r="N40" i="41"/>
  <c r="L44" i="41"/>
  <c r="N46" i="41"/>
  <c r="M242" i="41"/>
  <c r="M239" i="41"/>
  <c r="M241" i="41"/>
  <c r="K96" i="41"/>
  <c r="M133" i="41"/>
  <c r="M128" i="41"/>
  <c r="M125" i="41"/>
  <c r="M136" i="41"/>
  <c r="M127" i="41"/>
  <c r="M135" i="41"/>
  <c r="M126" i="41"/>
  <c r="M130" i="41"/>
  <c r="M129" i="41"/>
  <c r="O118" i="41"/>
  <c r="B127" i="41"/>
  <c r="B131" i="41"/>
  <c r="B125" i="41"/>
  <c r="B135" i="41"/>
  <c r="B129" i="41"/>
  <c r="B126" i="41"/>
  <c r="B133" i="41"/>
  <c r="B130" i="41"/>
  <c r="B128" i="41"/>
  <c r="B134" i="41"/>
  <c r="B132" i="41"/>
  <c r="AE67" i="41"/>
  <c r="L97" i="41"/>
  <c r="J67" i="41"/>
  <c r="I7" i="50" s="1"/>
  <c r="N100" i="41"/>
  <c r="O65" i="41"/>
  <c r="K94" i="41"/>
  <c r="K67" i="41"/>
  <c r="I7" i="51" s="1"/>
  <c r="G92" i="41"/>
  <c r="F67" i="41"/>
  <c r="G7" i="46" s="1"/>
  <c r="B95" i="41"/>
  <c r="N94" i="41"/>
  <c r="L43" i="41"/>
  <c r="M15" i="41"/>
  <c r="G5" i="53" s="1"/>
  <c r="O13" i="41"/>
  <c r="O5" i="41"/>
  <c r="M16" i="41"/>
  <c r="M30" i="41" s="1"/>
  <c r="L16" i="41"/>
  <c r="C42" i="41"/>
  <c r="K39" i="41"/>
  <c r="M48" i="41"/>
  <c r="N45" i="41"/>
  <c r="K47" i="41"/>
  <c r="K46" i="41"/>
  <c r="J45" i="41"/>
  <c r="L39" i="41"/>
  <c r="C41" i="41"/>
  <c r="L15" i="41"/>
  <c r="I5" i="52" s="1"/>
  <c r="D42" i="41"/>
  <c r="N16" i="41"/>
  <c r="N24" i="41" s="1"/>
  <c r="O9" i="41"/>
  <c r="N15" i="41"/>
  <c r="G5" i="54" s="1"/>
  <c r="B39" i="41"/>
  <c r="N41" i="41"/>
  <c r="J38" i="41"/>
  <c r="H47" i="41"/>
  <c r="Q29" i="39"/>
  <c r="Q30" i="39"/>
  <c r="F130" i="41"/>
  <c r="F134" i="41"/>
  <c r="J9" i="46"/>
  <c r="F132" i="41"/>
  <c r="I43" i="41"/>
  <c r="O8" i="41"/>
  <c r="F44" i="41"/>
  <c r="F43" i="41"/>
  <c r="F239" i="41"/>
  <c r="F240" i="41"/>
  <c r="F241" i="41"/>
  <c r="F242" i="41"/>
  <c r="I100" i="41"/>
  <c r="I99" i="41"/>
  <c r="I96" i="41"/>
  <c r="I95" i="41"/>
  <c r="I92" i="41"/>
  <c r="I68" i="41"/>
  <c r="I67" i="41"/>
  <c r="I91" i="41"/>
  <c r="AE15" i="41"/>
  <c r="F16" i="41"/>
  <c r="F31" i="41" s="1"/>
  <c r="F15" i="41"/>
  <c r="G97" i="41"/>
  <c r="G98" i="41"/>
  <c r="G94" i="41"/>
  <c r="O59" i="41"/>
  <c r="G93" i="41"/>
  <c r="G90" i="41"/>
  <c r="G67" i="41"/>
  <c r="I47" i="41"/>
  <c r="I16" i="41"/>
  <c r="I30" i="41" s="1"/>
  <c r="I15" i="41"/>
  <c r="I39" i="41"/>
  <c r="I38" i="41"/>
  <c r="O4" i="41"/>
  <c r="F48" i="41"/>
  <c r="F40" i="41"/>
  <c r="F47" i="41"/>
  <c r="F39" i="41"/>
  <c r="I46" i="41"/>
  <c r="C97" i="41"/>
  <c r="C96" i="41"/>
  <c r="O62" i="41"/>
  <c r="C67" i="41"/>
  <c r="C92" i="41"/>
  <c r="C93" i="41"/>
  <c r="H97" i="41"/>
  <c r="H96" i="41"/>
  <c r="H92" i="41"/>
  <c r="H68" i="41"/>
  <c r="H76" i="41" s="1"/>
  <c r="H93" i="41"/>
  <c r="O63" i="41"/>
  <c r="O55" i="41"/>
  <c r="D99" i="41"/>
  <c r="O64" i="41"/>
  <c r="D98" i="41"/>
  <c r="D95" i="41"/>
  <c r="D94" i="41"/>
  <c r="O60" i="41"/>
  <c r="D68" i="41"/>
  <c r="D78" i="41" s="1"/>
  <c r="D67" i="41"/>
  <c r="D90" i="41"/>
  <c r="O56" i="41"/>
  <c r="D91" i="41"/>
  <c r="H16" i="41"/>
  <c r="H15" i="41"/>
  <c r="H40" i="41"/>
  <c r="M131" i="41"/>
  <c r="M134" i="41"/>
  <c r="M132" i="41"/>
  <c r="M67" i="41"/>
  <c r="M68" i="41"/>
  <c r="N91" i="41"/>
  <c r="N68" i="41"/>
  <c r="J7" i="54" s="1"/>
  <c r="N90" i="41"/>
  <c r="N67" i="41"/>
  <c r="L68" i="41"/>
  <c r="L67" i="41"/>
  <c r="L93" i="41"/>
  <c r="B15" i="41"/>
  <c r="I5" i="43" s="1"/>
  <c r="G15" i="41"/>
  <c r="G5" i="47" s="1"/>
  <c r="G16" i="41"/>
  <c r="H67" i="41"/>
  <c r="O66" i="41"/>
  <c r="B100" i="41"/>
  <c r="B92" i="41"/>
  <c r="O58" i="41"/>
  <c r="C68" i="41"/>
  <c r="D15" i="41"/>
  <c r="G5" i="45" s="1"/>
  <c r="F100" i="41"/>
  <c r="F99" i="41"/>
  <c r="F95" i="41"/>
  <c r="O61" i="41"/>
  <c r="F96" i="41"/>
  <c r="O57" i="41"/>
  <c r="F91" i="41"/>
  <c r="F68" i="41"/>
  <c r="F92" i="41"/>
  <c r="J16" i="41"/>
  <c r="J15" i="41"/>
  <c r="J100" i="41"/>
  <c r="J99" i="41"/>
  <c r="J92" i="41"/>
  <c r="J68" i="41"/>
  <c r="J91" i="41"/>
  <c r="K16" i="41"/>
  <c r="K15" i="41"/>
  <c r="K92" i="41"/>
  <c r="K91" i="41"/>
  <c r="K68" i="41"/>
  <c r="B68" i="41"/>
  <c r="C16" i="41"/>
  <c r="C15" i="41"/>
  <c r="D16" i="41"/>
  <c r="G239" i="41"/>
  <c r="G241" i="41"/>
  <c r="G242" i="41"/>
  <c r="B67" i="41"/>
  <c r="C137" i="41" l="1"/>
  <c r="H243" i="41"/>
  <c r="J243" i="41"/>
  <c r="L243" i="41"/>
  <c r="D243" i="41"/>
  <c r="B243" i="41"/>
  <c r="D137" i="41"/>
  <c r="I137" i="41"/>
  <c r="C7" i="43"/>
  <c r="C243" i="41"/>
  <c r="H137" i="41"/>
  <c r="I5" i="53"/>
  <c r="K137" i="41"/>
  <c r="M21" i="41"/>
  <c r="N137" i="41"/>
  <c r="L137" i="41"/>
  <c r="G81" i="41"/>
  <c r="G82" i="41"/>
  <c r="G80" i="41"/>
  <c r="G84" i="41"/>
  <c r="G79" i="41"/>
  <c r="G73" i="41"/>
  <c r="G75" i="41"/>
  <c r="G78" i="41"/>
  <c r="G83" i="41"/>
  <c r="G5" i="52"/>
  <c r="G74" i="41"/>
  <c r="I7" i="46"/>
  <c r="G137" i="41"/>
  <c r="G76" i="41"/>
  <c r="J7" i="47"/>
  <c r="M27" i="41"/>
  <c r="J5" i="53"/>
  <c r="I5" i="54"/>
  <c r="I243" i="41"/>
  <c r="G7" i="51"/>
  <c r="B25" i="41"/>
  <c r="J137" i="41"/>
  <c r="N243" i="41"/>
  <c r="B49" i="41"/>
  <c r="M25" i="41"/>
  <c r="J5" i="43"/>
  <c r="B28" i="41"/>
  <c r="B23" i="41"/>
  <c r="B31" i="41"/>
  <c r="B21" i="41"/>
  <c r="B27" i="41"/>
  <c r="N27" i="41"/>
  <c r="G7" i="50"/>
  <c r="B24" i="41"/>
  <c r="M243" i="41"/>
  <c r="B22" i="41"/>
  <c r="B26" i="41"/>
  <c r="B30" i="41"/>
  <c r="B32" i="41"/>
  <c r="N84" i="41"/>
  <c r="H80" i="41"/>
  <c r="F137" i="41"/>
  <c r="M137" i="41"/>
  <c r="B137" i="41"/>
  <c r="D74" i="41"/>
  <c r="J5" i="54"/>
  <c r="N23" i="41"/>
  <c r="N22" i="41"/>
  <c r="N82" i="41"/>
  <c r="N21" i="41"/>
  <c r="N75" i="41"/>
  <c r="N30" i="41"/>
  <c r="N73" i="41"/>
  <c r="N78" i="41"/>
  <c r="N81" i="41"/>
  <c r="N80" i="41"/>
  <c r="N74" i="41"/>
  <c r="N76" i="41"/>
  <c r="N32" i="41"/>
  <c r="N77" i="41"/>
  <c r="N31" i="41"/>
  <c r="N28" i="41"/>
  <c r="N26" i="41"/>
  <c r="N83" i="41"/>
  <c r="N25" i="41"/>
  <c r="N79" i="41"/>
  <c r="N29" i="41"/>
  <c r="J5" i="52"/>
  <c r="L32" i="41"/>
  <c r="L26" i="41"/>
  <c r="L30" i="41"/>
  <c r="L28" i="41"/>
  <c r="L24" i="41"/>
  <c r="L29" i="41"/>
  <c r="L25" i="41"/>
  <c r="L21" i="41"/>
  <c r="L31" i="41"/>
  <c r="L23" i="41"/>
  <c r="L22" i="41"/>
  <c r="M24" i="41"/>
  <c r="M22" i="41"/>
  <c r="M29" i="41"/>
  <c r="M31" i="41"/>
  <c r="M26" i="41"/>
  <c r="M28" i="41"/>
  <c r="M23" i="41"/>
  <c r="L27" i="41"/>
  <c r="M32" i="41"/>
  <c r="J7" i="50"/>
  <c r="J73" i="41"/>
  <c r="J78" i="41"/>
  <c r="J81" i="41"/>
  <c r="J76" i="41"/>
  <c r="J84" i="41"/>
  <c r="J82" i="41"/>
  <c r="J80" i="41"/>
  <c r="J74" i="41"/>
  <c r="J77" i="41"/>
  <c r="J79" i="41"/>
  <c r="I5" i="44"/>
  <c r="G5" i="44"/>
  <c r="J5" i="50"/>
  <c r="J30" i="41"/>
  <c r="J23" i="41"/>
  <c r="J27" i="41"/>
  <c r="J25" i="41"/>
  <c r="J29" i="41"/>
  <c r="J32" i="41"/>
  <c r="J26" i="41"/>
  <c r="J31" i="41"/>
  <c r="J21" i="41"/>
  <c r="J22" i="41"/>
  <c r="J24" i="41"/>
  <c r="J28" i="41"/>
  <c r="G7" i="48"/>
  <c r="I7" i="48"/>
  <c r="I7" i="53"/>
  <c r="G7" i="53"/>
  <c r="J5" i="48"/>
  <c r="H25" i="41"/>
  <c r="H29" i="41"/>
  <c r="H28" i="41"/>
  <c r="H21" i="41"/>
  <c r="H24" i="41"/>
  <c r="H30" i="41"/>
  <c r="H27" i="41"/>
  <c r="H32" i="41"/>
  <c r="H26" i="41"/>
  <c r="H22" i="41"/>
  <c r="H23" i="41"/>
  <c r="H31" i="41"/>
  <c r="J5" i="49"/>
  <c r="I25" i="41"/>
  <c r="I31" i="41"/>
  <c r="I32" i="41"/>
  <c r="I21" i="41"/>
  <c r="I22" i="41"/>
  <c r="I28" i="41"/>
  <c r="I24" i="41"/>
  <c r="I27" i="41"/>
  <c r="I23" i="41"/>
  <c r="I29" i="41"/>
  <c r="I5" i="46"/>
  <c r="G5" i="46"/>
  <c r="J7" i="49"/>
  <c r="I73" i="41"/>
  <c r="I78" i="41"/>
  <c r="I74" i="41"/>
  <c r="I84" i="41"/>
  <c r="I80" i="41"/>
  <c r="I81" i="41"/>
  <c r="I82" i="41"/>
  <c r="I79" i="41"/>
  <c r="I77" i="41"/>
  <c r="I76" i="41"/>
  <c r="I83" i="41"/>
  <c r="I26" i="41"/>
  <c r="G7" i="43"/>
  <c r="I7" i="43"/>
  <c r="O67" i="41"/>
  <c r="J5" i="44"/>
  <c r="C24" i="41"/>
  <c r="C23" i="41"/>
  <c r="C30" i="41"/>
  <c r="C27" i="41"/>
  <c r="C21" i="41"/>
  <c r="C26" i="41"/>
  <c r="C32" i="41"/>
  <c r="C28" i="41"/>
  <c r="C29" i="41"/>
  <c r="C25" i="41"/>
  <c r="C31" i="41"/>
  <c r="C22" i="41"/>
  <c r="J83" i="41"/>
  <c r="J5" i="47"/>
  <c r="G31" i="41"/>
  <c r="G29" i="41"/>
  <c r="G22" i="41"/>
  <c r="G27" i="41"/>
  <c r="G25" i="41"/>
  <c r="G24" i="41"/>
  <c r="G28" i="41"/>
  <c r="G21" i="41"/>
  <c r="G30" i="41"/>
  <c r="G32" i="41"/>
  <c r="G26" i="41"/>
  <c r="G23" i="41"/>
  <c r="G7" i="52"/>
  <c r="I7" i="52"/>
  <c r="G7" i="45"/>
  <c r="I7" i="45"/>
  <c r="J5" i="46"/>
  <c r="F30" i="41"/>
  <c r="F24" i="41"/>
  <c r="F28" i="41"/>
  <c r="F32" i="41"/>
  <c r="F22" i="41"/>
  <c r="F27" i="41"/>
  <c r="F25" i="41"/>
  <c r="F23" i="41"/>
  <c r="F29" i="41"/>
  <c r="F26" i="41"/>
  <c r="F21" i="41"/>
  <c r="F243" i="41"/>
  <c r="G243" i="41"/>
  <c r="J7" i="43"/>
  <c r="B75" i="41"/>
  <c r="B78" i="41"/>
  <c r="B74" i="41"/>
  <c r="B83" i="41"/>
  <c r="B76" i="41"/>
  <c r="B79" i="41"/>
  <c r="B77" i="41"/>
  <c r="B73" i="41"/>
  <c r="B80" i="41"/>
  <c r="B82" i="41"/>
  <c r="B81" i="41"/>
  <c r="B84" i="41"/>
  <c r="G5" i="51"/>
  <c r="I5" i="51"/>
  <c r="J7" i="46"/>
  <c r="F77" i="41"/>
  <c r="F82" i="41"/>
  <c r="F75" i="41"/>
  <c r="F76" i="41"/>
  <c r="F81" i="41"/>
  <c r="F78" i="41"/>
  <c r="F84" i="41"/>
  <c r="F79" i="41"/>
  <c r="F80" i="41"/>
  <c r="F83" i="41"/>
  <c r="F74" i="41"/>
  <c r="F73" i="41"/>
  <c r="I5" i="45"/>
  <c r="I5" i="47"/>
  <c r="J7" i="52"/>
  <c r="L84" i="41"/>
  <c r="L73" i="41"/>
  <c r="L79" i="41"/>
  <c r="L75" i="41"/>
  <c r="L80" i="41"/>
  <c r="L74" i="41"/>
  <c r="L81" i="41"/>
  <c r="L77" i="41"/>
  <c r="L82" i="41"/>
  <c r="L76" i="41"/>
  <c r="L83" i="41"/>
  <c r="L78" i="41"/>
  <c r="D80" i="41"/>
  <c r="J7" i="45"/>
  <c r="D77" i="41"/>
  <c r="D73" i="41"/>
  <c r="D75" i="41"/>
  <c r="D76" i="41"/>
  <c r="D83" i="41"/>
  <c r="D84" i="41"/>
  <c r="D82" i="41"/>
  <c r="D79" i="41"/>
  <c r="D81" i="41"/>
  <c r="H77" i="41"/>
  <c r="J7" i="48"/>
  <c r="H75" i="41"/>
  <c r="H83" i="41"/>
  <c r="H79" i="41"/>
  <c r="H81" i="41"/>
  <c r="H74" i="41"/>
  <c r="H82" i="41"/>
  <c r="H78" i="41"/>
  <c r="H84" i="41"/>
  <c r="H73" i="41"/>
  <c r="G7" i="44"/>
  <c r="I7" i="44"/>
  <c r="I75" i="41"/>
  <c r="J5" i="45"/>
  <c r="D27" i="41"/>
  <c r="D28" i="41"/>
  <c r="D21" i="41"/>
  <c r="D30" i="41"/>
  <c r="D32" i="41"/>
  <c r="D29" i="41"/>
  <c r="D22" i="41"/>
  <c r="D25" i="41"/>
  <c r="D23" i="41"/>
  <c r="D24" i="41"/>
  <c r="D26" i="41"/>
  <c r="D31" i="41"/>
  <c r="J7" i="51"/>
  <c r="K77" i="41"/>
  <c r="K74" i="41"/>
  <c r="K73" i="41"/>
  <c r="K75" i="41"/>
  <c r="K79" i="41"/>
  <c r="K76" i="41"/>
  <c r="K78" i="41"/>
  <c r="K80" i="41"/>
  <c r="K81" i="41"/>
  <c r="K84" i="41"/>
  <c r="K82" i="41"/>
  <c r="K83" i="41"/>
  <c r="K31" i="41"/>
  <c r="J5" i="51"/>
  <c r="K26" i="41"/>
  <c r="K24" i="41"/>
  <c r="K23" i="41"/>
  <c r="K21" i="41"/>
  <c r="K25" i="41"/>
  <c r="K22" i="41"/>
  <c r="K29" i="41"/>
  <c r="K28" i="41"/>
  <c r="K27" i="41"/>
  <c r="K30" i="41"/>
  <c r="K32" i="41"/>
  <c r="J75" i="41"/>
  <c r="I5" i="50"/>
  <c r="G5" i="50"/>
  <c r="J7" i="44"/>
  <c r="C77" i="41"/>
  <c r="C81" i="41"/>
  <c r="C82" i="41"/>
  <c r="C79" i="41"/>
  <c r="C74" i="41"/>
  <c r="C83" i="41"/>
  <c r="C73" i="41"/>
  <c r="C78" i="41"/>
  <c r="C75" i="41"/>
  <c r="C84" i="41"/>
  <c r="G5" i="43"/>
  <c r="O15" i="41"/>
  <c r="I7" i="54"/>
  <c r="G7" i="54"/>
  <c r="M74" i="41"/>
  <c r="M79" i="41"/>
  <c r="J7" i="53"/>
  <c r="M80" i="41"/>
  <c r="M83" i="41"/>
  <c r="M75" i="41"/>
  <c r="M77" i="41"/>
  <c r="M81" i="41"/>
  <c r="M76" i="41"/>
  <c r="M84" i="41"/>
  <c r="M73" i="41"/>
  <c r="M82" i="41"/>
  <c r="M78" i="41"/>
  <c r="I5" i="48"/>
  <c r="G5" i="48"/>
  <c r="C76" i="41"/>
  <c r="C80" i="41"/>
  <c r="G5" i="49"/>
  <c r="I5" i="49"/>
  <c r="I7" i="47"/>
  <c r="G7" i="47"/>
  <c r="I7" i="49"/>
  <c r="G7" i="49"/>
  <c r="G85" i="41" l="1"/>
  <c r="B33" i="41"/>
  <c r="N85" i="41"/>
  <c r="N33" i="41"/>
  <c r="M33" i="41"/>
  <c r="B85" i="41"/>
  <c r="D85" i="41"/>
  <c r="G33" i="41"/>
  <c r="J33" i="41"/>
  <c r="L33" i="41"/>
  <c r="K33" i="41"/>
  <c r="D33" i="41"/>
  <c r="F33" i="41"/>
  <c r="I33" i="41"/>
  <c r="H33" i="41"/>
  <c r="C85" i="41"/>
  <c r="F85" i="41"/>
  <c r="C33" i="41"/>
  <c r="I85" i="41"/>
  <c r="J85" i="41"/>
  <c r="M85" i="41"/>
  <c r="K85" i="41"/>
  <c r="H85" i="41"/>
  <c r="L85" i="41"/>
</calcChain>
</file>

<file path=xl/sharedStrings.xml><?xml version="1.0" encoding="utf-8"?>
<sst xmlns="http://schemas.openxmlformats.org/spreadsheetml/2006/main" count="1281" uniqueCount="238">
  <si>
    <t>Average Archive Growth</t>
    <phoneticPr fontId="0" type="noConversion"/>
  </si>
  <si>
    <t>End User Distribution Products</t>
  </si>
  <si>
    <t>End User Average Distribution Volume</t>
    <phoneticPr fontId="0" type="noConversion"/>
  </si>
  <si>
    <t>ASDC</t>
  </si>
  <si>
    <t>ASF</t>
  </si>
  <si>
    <t>CDDIS</t>
  </si>
  <si>
    <t>GESDISC</t>
  </si>
  <si>
    <t>GHRC</t>
  </si>
  <si>
    <t>NSIDC</t>
  </si>
  <si>
    <t>ORNL</t>
  </si>
  <si>
    <t>SEDAC</t>
  </si>
  <si>
    <t>Total</t>
  </si>
  <si>
    <t>PO.DAAC</t>
  </si>
  <si>
    <t>Products By Month</t>
  </si>
  <si>
    <t>LP DAAC</t>
  </si>
  <si>
    <t>Total Products</t>
  </si>
  <si>
    <t>Month</t>
  </si>
  <si>
    <t>OB.DAAC</t>
  </si>
  <si>
    <t>User</t>
  </si>
  <si>
    <t>Unique Data set</t>
  </si>
  <si>
    <t>Data users Only</t>
  </si>
  <si>
    <t>growth rate</t>
  </si>
  <si>
    <t>Products (Million)</t>
  </si>
  <si>
    <t>Vol (TB)</t>
  </si>
  <si>
    <t>per day</t>
  </si>
  <si>
    <t xml:space="preserve">Change from
</t>
  </si>
  <si>
    <t>12 Month</t>
  </si>
  <si>
    <t>Average</t>
  </si>
  <si>
    <t>Trend</t>
  </si>
  <si>
    <t>mean</t>
  </si>
  <si>
    <t>gain/loss from 12 month mean</t>
  </si>
  <si>
    <t>gain/loss from previous month</t>
  </si>
  <si>
    <t xml:space="preserve">Monthly </t>
  </si>
  <si>
    <t>Volume distributed</t>
  </si>
  <si>
    <t>Vol (GB)</t>
  </si>
  <si>
    <t>Number of Users</t>
  </si>
  <si>
    <t>DAAC</t>
  </si>
  <si>
    <t>FY08</t>
  </si>
  <si>
    <t>FY09</t>
  </si>
  <si>
    <t>FY10</t>
  </si>
  <si>
    <t>FY11</t>
  </si>
  <si>
    <t>FY12</t>
  </si>
  <si>
    <t>FY13</t>
  </si>
  <si>
    <t>FY14</t>
  </si>
  <si>
    <t>Total Archive Volume (TB)</t>
  </si>
  <si>
    <t>FY15</t>
  </si>
  <si>
    <t>total</t>
  </si>
  <si>
    <t>Fiscal Year</t>
  </si>
  <si>
    <t>% of Web Users using the Data</t>
  </si>
  <si>
    <t>GES DISC</t>
  </si>
  <si>
    <t>LPDAAC</t>
  </si>
  <si>
    <t>VISITORS</t>
  </si>
  <si>
    <t>VISITS</t>
  </si>
  <si>
    <t>VIEWS</t>
  </si>
  <si>
    <t>Grand Total</t>
  </si>
  <si>
    <t># of Web Visitors</t>
  </si>
  <si>
    <t>gain/loss from 12 month mean (Web Visitor)</t>
  </si>
  <si>
    <t>gain/loss from previous month (Web visitor)</t>
  </si>
  <si>
    <t>Data User</t>
  </si>
  <si>
    <t>FY07</t>
  </si>
  <si>
    <t>Fiscal year</t>
  </si>
  <si>
    <t># of Web Visits, Views, and Visitors by Year</t>
  </si>
  <si>
    <t>Volume (TB)</t>
  </si>
  <si>
    <t>EOSDIS</t>
  </si>
  <si>
    <t>Item</t>
  </si>
  <si>
    <t>Number of Files Distirbuted</t>
  </si>
  <si>
    <t>Number of Files Distirbuted (Million)</t>
  </si>
  <si>
    <t>Web User</t>
  </si>
  <si>
    <t>Files 
(Millions)</t>
  </si>
  <si>
    <t>Number of Files distributed (million)</t>
  </si>
  <si>
    <t>This worksheet contains tables of metrics data from each DAAC for fiscal years FY07 to the present. Data includes key metrics and distribution data (files, volume, number of users).</t>
  </si>
  <si>
    <t>Total Archive Vol (TB)</t>
  </si>
  <si>
    <t>FY16</t>
  </si>
  <si>
    <t>LANCE</t>
  </si>
  <si>
    <t xml:space="preserve"> </t>
  </si>
  <si>
    <t>Archive Volume (TB)</t>
  </si>
  <si>
    <t>one week</t>
  </si>
  <si>
    <t>yearly Total</t>
  </si>
  <si>
    <t>This worksheet contains tables of metrics data for LANCE for fiscal years FY10 to the present. Data includes key metrics and distribution data (files, volume, number of users).</t>
  </si>
  <si>
    <t>Total Archive Vol (PB)</t>
  </si>
  <si>
    <t>Average Archive Growth</t>
    <phoneticPr fontId="0" type="noConversion"/>
  </si>
  <si>
    <t>Data User (Registered)</t>
  </si>
  <si>
    <t>*1 Un-registered (Rapid Response and FIRMS users) excluded</t>
  </si>
  <si>
    <t>*2 Represents Production Volume for LANCE</t>
  </si>
  <si>
    <t>FY17</t>
  </si>
  <si>
    <t>from "Data_Users" tab (stage 3, Distinct data users)</t>
  </si>
  <si>
    <t>Above two tables are total (including NRT)</t>
  </si>
  <si>
    <t>using LANCEdistdailysummaryMV</t>
  </si>
  <si>
    <t># of registered users in "NRT" tab of annual report</t>
  </si>
  <si>
    <t>For September data, copy from last year's result</t>
  </si>
  <si>
    <t>Do not modify the upper table</t>
  </si>
  <si>
    <t>FY18</t>
  </si>
  <si>
    <t>Do not change</t>
  </si>
  <si>
    <t>FY18 total</t>
  </si>
  <si>
    <t xml:space="preserve">From total_users &gt; total distinct users of data and services </t>
  </si>
  <si>
    <t>From web_visits-visitors&gt; total plus LANCE_web_metircs&gt;web  # visit</t>
  </si>
  <si>
    <t>From _summary&gt; Unique data sets</t>
  </si>
  <si>
    <t>From total_users&gt; % of Web Uers using the data</t>
  </si>
  <si>
    <t>From a separate file from Lalit</t>
  </si>
  <si>
    <t>from "Distribution"</t>
  </si>
  <si>
    <t>From Web_Visits-Visitors tab in annual report, not the sum of monthly web visitors</t>
  </si>
  <si>
    <t>From Web_Visits-Visitors tab, not the sum of monthly web visitors</t>
  </si>
  <si>
    <t>LANCE_WebMetrics</t>
  </si>
  <si>
    <t>Source Tab</t>
  </si>
  <si>
    <t>Unique_Product_Counts</t>
  </si>
  <si>
    <t>Web_visits-Visitors</t>
  </si>
  <si>
    <t>Total_Users</t>
  </si>
  <si>
    <t xml:space="preserve"> Archive</t>
  </si>
  <si>
    <t>Archive</t>
  </si>
  <si>
    <t>Total Archive Size</t>
  </si>
  <si>
    <t>Total User</t>
  </si>
  <si>
    <t>Total Volume</t>
  </si>
  <si>
    <t xml:space="preserve"> from NRT tab</t>
  </si>
  <si>
    <t>from "LANCE_WebMetrics"</t>
  </si>
  <si>
    <t>LAADS DAAC</t>
  </si>
  <si>
    <t>FY19</t>
  </si>
  <si>
    <t>FY19 total</t>
  </si>
  <si>
    <t>script5_1, FY19_annual_registered_NRT_Users by month</t>
  </si>
  <si>
    <t>B6:D6</t>
  </si>
  <si>
    <t>D23 from "LANCE_WebMetrics"</t>
  </si>
  <si>
    <t>These two cells should be modified every year</t>
  </si>
  <si>
    <t>Modify T13:T15 only</t>
  </si>
  <si>
    <t>from "Distribution" tab</t>
  </si>
  <si>
    <t>should be zero</t>
  </si>
  <si>
    <t># of Web Visitors-GA</t>
  </si>
  <si>
    <t>Web User-GA</t>
  </si>
  <si>
    <t># of Web Visits, Views, and Visitors by Year-NetInsight</t>
  </si>
  <si>
    <t># of Web Visits, Views, and Visitors by Year-GA</t>
  </si>
  <si>
    <t>webvisit (NetInsighty)</t>
  </si>
  <si>
    <t>webvisit (GA)</t>
  </si>
  <si>
    <t xml:space="preserve">Web Site Visits-GA </t>
  </si>
  <si>
    <t>Distinct Users-GA</t>
  </si>
  <si>
    <t>Distinct Web Visitor (1 min+)-GA</t>
  </si>
  <si>
    <t>Distinct Users-NetInsight</t>
  </si>
  <si>
    <t>Distinct Web Visitor (1 min+)-NetInsight</t>
  </si>
  <si>
    <t>LANCE Registered Users</t>
  </si>
  <si>
    <t>LANCE Un-registered Users</t>
  </si>
  <si>
    <t>Unique Data Sets</t>
  </si>
  <si>
    <t>Distinct Users of EOSDIS Data and Services-GA*1</t>
  </si>
  <si>
    <t>Distinct Web Visitor (1 min+)-NetInsigfht</t>
  </si>
  <si>
    <t>webvisit-NetInsight</t>
  </si>
  <si>
    <t>webvisit-GA</t>
  </si>
  <si>
    <t>Total Users</t>
  </si>
  <si>
    <t>FY20</t>
  </si>
  <si>
    <t>from FY20_annual_NRT_Distribution by month</t>
  </si>
  <si>
    <t>LANCE_Unregistered Users</t>
  </si>
  <si>
    <t>Total Archive Volume*2</t>
  </si>
  <si>
    <t>FY21</t>
  </si>
  <si>
    <t>Result from script1 (Cloud numbers included)</t>
  </si>
  <si>
    <t>I think we can delete this blue section of the table.</t>
  </si>
  <si>
    <t>Distinct Users of EOSDIS Data and Services (Google Analytics)</t>
  </si>
  <si>
    <t>Web Site Sessions (Google Analytics)</t>
  </si>
  <si>
    <t>Total Archive Volume Including in Cloud</t>
  </si>
  <si>
    <t>Total Archive Volume in Cloud Only</t>
  </si>
  <si>
    <t>End User Distribution Products including from Cloud</t>
  </si>
  <si>
    <t>End User Distribution Products from Cloud only</t>
  </si>
  <si>
    <t>End User Average Distribution Volume</t>
  </si>
  <si>
    <t>Cloud Data</t>
  </si>
  <si>
    <t>Archive Size (TB)</t>
  </si>
  <si>
    <t>FY22</t>
  </si>
  <si>
    <t>delete NRT except NSIDCNRT</t>
  </si>
  <si>
    <t>CSDA</t>
  </si>
  <si>
    <t>FY23</t>
  </si>
  <si>
    <t>NRT (prev year)</t>
  </si>
  <si>
    <t>D6</t>
  </si>
  <si>
    <t>B6</t>
  </si>
  <si>
    <t>different than distinct since monthly</t>
  </si>
  <si>
    <t>FY24</t>
  </si>
  <si>
    <t>FY24 total</t>
  </si>
  <si>
    <t>FY24 archive (TB)</t>
  </si>
  <si>
    <t>FY24 archive file (mil)</t>
  </si>
  <si>
    <t>FY2024</t>
  </si>
  <si>
    <t>2024-09</t>
  </si>
  <si>
    <t>NRT D23</t>
  </si>
  <si>
    <t>NRT C23</t>
  </si>
  <si>
    <t>Fy24 Total</t>
  </si>
  <si>
    <t>Average Archive Growth</t>
  </si>
  <si>
    <t>153.61 TB/day</t>
  </si>
  <si>
    <t>141.08 PB</t>
  </si>
  <si>
    <t>78.26 PB</t>
  </si>
  <si>
    <t>1770.45 M</t>
  </si>
  <si>
    <t>450.8 TB/day</t>
  </si>
  <si>
    <t>ASF DAAC</t>
  </si>
  <si>
    <t>GHRC DAAC</t>
  </si>
  <si>
    <t>NSIDC DAAC</t>
  </si>
  <si>
    <t>ORNL DAAC</t>
  </si>
  <si>
    <t>last years value</t>
  </si>
  <si>
    <t>8.35 M</t>
  </si>
  <si>
    <t>3.5 M</t>
  </si>
  <si>
    <t>FY24Total</t>
  </si>
  <si>
    <t>FY24 Total</t>
  </si>
  <si>
    <t>4,769.27 M</t>
  </si>
  <si>
    <t># of Web Visitors-FY23</t>
  </si>
  <si>
    <r>
      <t xml:space="preserve">
</t>
    </r>
    <r>
      <rPr>
        <sz val="36"/>
        <rFont val="Arial"/>
        <family val="2"/>
      </rPr>
      <t xml:space="preserve">
EOSDIS DAAC Profiles
FY2025
Part of the Annual Metrics Report</t>
    </r>
    <r>
      <rPr>
        <sz val="10"/>
        <rFont val="Arial"/>
        <family val="2"/>
      </rPr>
      <t xml:space="preserve">
</t>
    </r>
  </si>
  <si>
    <t>2024-10</t>
  </si>
  <si>
    <t>2024-11</t>
  </si>
  <si>
    <t>2024-12</t>
  </si>
  <si>
    <t>2025-01</t>
  </si>
  <si>
    <t>2025-02</t>
  </si>
  <si>
    <t>2025-03</t>
  </si>
  <si>
    <t>2025-04</t>
  </si>
  <si>
    <t>2025-05</t>
  </si>
  <si>
    <t>2025-06</t>
  </si>
  <si>
    <t>2025-07</t>
  </si>
  <si>
    <t>2025-08</t>
  </si>
  <si>
    <t>2025-09</t>
  </si>
  <si>
    <t>Fy25 Total</t>
  </si>
  <si>
    <t>FY25 archive file (mil)</t>
  </si>
  <si>
    <t>FY25 archive (TB)</t>
  </si>
  <si>
    <t>FY25</t>
  </si>
  <si>
    <t>FY25 total</t>
  </si>
  <si>
    <t>NRT E162</t>
  </si>
  <si>
    <t>NRT B67</t>
  </si>
  <si>
    <t>NRT E67</t>
  </si>
  <si>
    <t>--- FY25_annual_registered_NRT_Users_by_Month (used in DAAC profile)
select to_char(requestdate, 'YYYY-MM') as Month,
count(distinct (username)) as "# of Users"
from emsreports.SPSO_TEST_FY25
where usertype &gt; '4'
and provider like '%NRT%'
and provider!='NSIDCNRT'
and lower(username) not in ('anonymous','-')
and username is not null
group by to_char(requestdate, 'YYYY-MM')
order by Month</t>
  </si>
  <si>
    <t>script</t>
  </si>
  <si>
    <t>select daac, to_char(requestdate, 'YYYY-MM') as Month,
count(distinct(case when ursflag='N' then distuser
when ursflag='Y' then username end))
as "# of Users"
from  emsreports.SPSO_TEST_FY25 a, daac_reassign b
where a.provider = b.provider
and usertype &gt; '4'
and iphost !='daacfs1.ornl.gov'
and (a.provider not like '%NRT%' or a.provider = 'NSIDCNRT')
group by to_char(requestdate, 'YYYY-MM'), daac
order by daac, Month</t>
  </si>
  <si>
    <t>Users</t>
  </si>
  <si>
    <t>sum of Web Visitors and Data Users</t>
  </si>
  <si>
    <t>Distinct Users-Total</t>
  </si>
  <si>
    <t>sessions</t>
  </si>
  <si>
    <t>Total Distribution (m)</t>
  </si>
  <si>
    <t>CSDAP</t>
  </si>
  <si>
    <t>FY2025</t>
  </si>
  <si>
    <t>FY2025 Metrics (Oct 2024 to Sep 2025)</t>
  </si>
  <si>
    <t>(Oct 2024 to Sep 2025)</t>
  </si>
  <si>
    <t>FY 2025</t>
  </si>
  <si>
    <t>10 M</t>
  </si>
  <si>
    <t>14.9  M</t>
  </si>
  <si>
    <t>160 TB/day</t>
  </si>
  <si>
    <t>178.7 PB</t>
  </si>
  <si>
    <t>116.2 PB</t>
  </si>
  <si>
    <t>7,799.9 M</t>
  </si>
  <si>
    <t>4,316.1 M</t>
  </si>
  <si>
    <t>600 TB/day</t>
  </si>
  <si>
    <t xml:space="preserve">This file contains tables and graphs of FY25 metrics and trends for each EOSDIS DAAC plus the total. It complements the FY25 EOSDIS-wide metrics (filename:  FY25AnnualReport.xlsx)
The DAACs are profiled in six charts:
1. Summary for FY 2025
     a. A summary of the FY25 key metrics per DAAC compared to the EOSDIS Total
2. Distribution and User Trends (Oct 2024 - Sep 2025)
     a. A dashboard charts displaying distribution trends and user behavior for each DAAC over the FY.
3. (DAAC) Multi-Year Total Archive Volume Trend
     a. A plot of the total archive at the DAAC since 2008.
4. (DAAC)  Multi-Year Product Distribution Trend
    a. A plot of the DAAC product distribution since 2008.
5. (DAAC)  Multi-Year Trend for Web Accesses
    a. A plot of the web accesses (visits, views, and visitors) since 2007.
6. (DAAC)  Yearly Percentage of Web Users  Downloading Data
    a. A plot of the percentage of web users that download data from the DAAC since 2008. In FY20 data for dual users could be determined  due to unavailability of the IPaddress in GA.
</t>
  </si>
  <si>
    <t>Prepared By:
Lalit Wanchoo, Adnet Systems, Inc.
Dany Turcios, Adnet Systems, Inc.
Yan Hao, Adnet Systems, Inc.
Heather Weir,  Adnet Systems, Inc.
October 2025</t>
  </si>
  <si>
    <t>If you have any questions or comments, please contact Ted Sobchak (Project Manager) at (301) 614-5356 or ted.c.sobchak@nasa.gov.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</si>
</sst>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0.00_);_(* \(#,##0.00\);_(* &quot;-&quot;??_);_(@_)"/>
    <numFmt numFmtId="164" formatCode="_-* #,##0.00_-;\-* #,##0.00_-;_-* &quot;-&quot;??_-;_-@_-"/>
    <numFmt numFmtId="165" formatCode="_(* #,##0_);_(* \(#,##0\);_(* &quot;-&quot;??_);_(@_)"/>
    <numFmt numFmtId="166" formatCode="[$-409]mmm\-yy;@"/>
    <numFmt numFmtId="167" formatCode="0.0"/>
    <numFmt numFmtId="168" formatCode="0.0%"/>
    <numFmt numFmtId="169" formatCode="_(* #,##0.0_);_(* \(#,##0.0\);_(* &quot;-&quot;??_);_(@_)"/>
    <numFmt numFmtId="170" formatCode="#,##0.0_);\(#,##0.0\)"/>
    <numFmt numFmtId="171" formatCode="#,##0.0"/>
    <numFmt numFmtId="172" formatCode="#,##0.000"/>
  </numFmts>
  <fonts count="32" x14ac:knownFonts="1">
    <font>
      <sz val="10"/>
      <name val="Arial"/>
      <family val="2"/>
    </font>
    <font>
      <sz val="10"/>
      <color theme="1"/>
      <name val="Arial"/>
      <family val="2"/>
    </font>
    <font>
      <sz val="10"/>
      <color theme="1"/>
      <name val="Arial"/>
      <family val="2"/>
    </font>
    <font>
      <sz val="10"/>
      <color theme="1"/>
      <name val="Arial"/>
      <family val="2"/>
    </font>
    <font>
      <b/>
      <sz val="10"/>
      <color theme="1"/>
      <name val="Arial"/>
      <family val="2"/>
    </font>
    <font>
      <sz val="10"/>
      <name val="Arial"/>
      <family val="2"/>
    </font>
    <font>
      <sz val="24"/>
      <name val="Arial"/>
      <family val="2"/>
    </font>
    <font>
      <b/>
      <sz val="10"/>
      <name val="Arial"/>
      <family val="2"/>
    </font>
    <font>
      <strike/>
      <sz val="10"/>
      <name val="Arial"/>
      <family val="2"/>
    </font>
    <font>
      <sz val="10"/>
      <color theme="1"/>
      <name val="Times New Roman"/>
      <family val="2"/>
    </font>
    <font>
      <sz val="10"/>
      <name val="Times New Roman"/>
      <family val="1"/>
    </font>
    <font>
      <sz val="11"/>
      <color theme="1"/>
      <name val="Times New Roman"/>
      <family val="2"/>
    </font>
    <font>
      <sz val="11"/>
      <color rgb="FF9C6500"/>
      <name val="Times New Roman"/>
      <family val="2"/>
    </font>
    <font>
      <b/>
      <sz val="22"/>
      <name val="Arial"/>
      <family val="2"/>
    </font>
    <font>
      <b/>
      <sz val="12"/>
      <name val="Arial"/>
      <family val="2"/>
    </font>
    <font>
      <sz val="12"/>
      <name val="Arial"/>
      <family val="2"/>
    </font>
    <font>
      <b/>
      <sz val="12"/>
      <color theme="1"/>
      <name val="Arial"/>
      <family val="2"/>
    </font>
    <font>
      <b/>
      <sz val="12"/>
      <color theme="3" tint="-0.499984740745262"/>
      <name val="Arial"/>
      <family val="2"/>
    </font>
    <font>
      <sz val="10"/>
      <name val="Arial"/>
      <family val="2"/>
    </font>
    <font>
      <u/>
      <sz val="10"/>
      <color theme="10"/>
      <name val="Arial"/>
      <family val="2"/>
    </font>
    <font>
      <u/>
      <sz val="10"/>
      <color theme="11"/>
      <name val="Arial"/>
      <family val="2"/>
    </font>
    <font>
      <b/>
      <sz val="9"/>
      <name val="Arial"/>
      <family val="2"/>
    </font>
    <font>
      <sz val="36"/>
      <name val="Arial"/>
      <family val="2"/>
    </font>
    <font>
      <sz val="20"/>
      <name val="Arial"/>
      <family val="2"/>
    </font>
    <font>
      <sz val="10"/>
      <color rgb="FFFF0000"/>
      <name val="Arial"/>
      <family val="2"/>
    </font>
    <font>
      <sz val="10"/>
      <color rgb="FF7030A0"/>
      <name val="Arial"/>
      <family val="2"/>
    </font>
    <font>
      <sz val="9"/>
      <name val="Arial"/>
      <family val="2"/>
    </font>
    <font>
      <sz val="8"/>
      <name val="Arial"/>
      <family val="2"/>
    </font>
    <font>
      <b/>
      <sz val="10"/>
      <color rgb="FFFF0000"/>
      <name val="Arial"/>
      <family val="2"/>
    </font>
    <font>
      <b/>
      <sz val="14"/>
      <name val="Arial"/>
      <family val="2"/>
    </font>
    <font>
      <b/>
      <sz val="14"/>
      <color theme="1"/>
      <name val="Arial"/>
      <family val="2"/>
    </font>
    <font>
      <sz val="10"/>
      <color theme="0" tint="-0.14999847407452621"/>
      <name val="Arial"/>
      <family val="2"/>
    </font>
  </fonts>
  <fills count="13">
    <fill>
      <patternFill patternType="none"/>
    </fill>
    <fill>
      <patternFill patternType="gray125"/>
    </fill>
    <fill>
      <patternFill patternType="solid">
        <fgColor indexed="31"/>
        <bgColor indexed="64"/>
      </patternFill>
    </fill>
    <fill>
      <patternFill patternType="solid">
        <fgColor indexed="26"/>
        <bgColor indexed="64"/>
      </patternFill>
    </fill>
    <fill>
      <patternFill patternType="solid">
        <fgColor indexed="47"/>
        <bgColor indexed="64"/>
      </patternFill>
    </fill>
    <fill>
      <patternFill patternType="solid">
        <fgColor rgb="FFFFEB9C"/>
      </patternFill>
    </fill>
    <fill>
      <patternFill patternType="solid">
        <fgColor rgb="FFCFF5FD"/>
        <bgColor indexed="64"/>
      </patternFill>
    </fill>
    <fill>
      <patternFill patternType="solid">
        <fgColor rgb="FFFFCC99"/>
        <bgColor indexed="64"/>
      </patternFill>
    </fill>
    <fill>
      <patternFill patternType="solid">
        <fgColor theme="7" tint="0.79998168889431442"/>
        <bgColor indexed="64"/>
      </patternFill>
    </fill>
    <fill>
      <patternFill patternType="solid">
        <fgColor rgb="FFFFF3CD"/>
        <bgColor indexed="64"/>
      </patternFill>
    </fill>
    <fill>
      <patternFill patternType="solid">
        <fgColor theme="4" tint="0.79998168889431442"/>
        <bgColor indexed="64"/>
      </patternFill>
    </fill>
    <fill>
      <patternFill patternType="solid">
        <fgColor rgb="FFFF0000"/>
        <bgColor indexed="64"/>
      </patternFill>
    </fill>
    <fill>
      <patternFill patternType="solid">
        <fgColor rgb="FF00B050"/>
        <bgColor indexed="64"/>
      </patternFill>
    </fill>
  </fills>
  <borders count="56">
    <border>
      <left/>
      <right/>
      <top/>
      <bottom/>
      <diagonal/>
    </border>
    <border>
      <left style="medium">
        <color auto="1"/>
      </left>
      <right/>
      <top style="medium">
        <color auto="1"/>
      </top>
      <bottom/>
      <diagonal/>
    </border>
    <border>
      <left style="thick">
        <color indexed="8"/>
      </left>
      <right style="medium">
        <color indexed="8"/>
      </right>
      <top/>
      <bottom style="medium">
        <color indexed="8"/>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top/>
      <bottom style="thin">
        <color auto="1"/>
      </bottom>
      <diagonal/>
    </border>
    <border>
      <left style="medium">
        <color auto="1"/>
      </left>
      <right style="medium">
        <color auto="1"/>
      </right>
      <top style="medium">
        <color auto="1"/>
      </top>
      <bottom style="medium">
        <color auto="1"/>
      </bottom>
      <diagonal/>
    </border>
    <border>
      <left/>
      <right/>
      <top style="medium">
        <color auto="1"/>
      </top>
      <bottom/>
      <diagonal/>
    </border>
    <border>
      <left style="medium">
        <color indexed="8"/>
      </left>
      <right/>
      <top/>
      <bottom style="medium">
        <color indexed="8"/>
      </bottom>
      <diagonal/>
    </border>
    <border>
      <left style="medium">
        <color indexed="8"/>
      </left>
      <right style="medium">
        <color indexed="8"/>
      </right>
      <top style="medium">
        <color auto="1"/>
      </top>
      <bottom style="medium">
        <color indexed="8"/>
      </bottom>
      <diagonal/>
    </border>
    <border>
      <left style="medium">
        <color indexed="8"/>
      </left>
      <right style="medium">
        <color indexed="8"/>
      </right>
      <top style="medium">
        <color indexed="8"/>
      </top>
      <bottom style="medium">
        <color indexed="8"/>
      </bottom>
      <diagonal/>
    </border>
    <border>
      <left style="thin">
        <color auto="1"/>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medium">
        <color auto="1"/>
      </right>
      <top style="medium">
        <color auto="1"/>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theme="3" tint="0.39994506668294322"/>
      </right>
      <top style="medium">
        <color auto="1"/>
      </top>
      <bottom/>
      <diagonal/>
    </border>
    <border>
      <left style="thin">
        <color theme="3" tint="0.39994506668294322"/>
      </left>
      <right style="thin">
        <color theme="3" tint="0.39994506668294322"/>
      </right>
      <top style="medium">
        <color auto="1"/>
      </top>
      <bottom/>
      <diagonal/>
    </border>
    <border>
      <left style="thin">
        <color theme="3" tint="0.39994506668294322"/>
      </left>
      <right/>
      <top style="medium">
        <color auto="1"/>
      </top>
      <bottom/>
      <diagonal/>
    </border>
    <border>
      <left/>
      <right style="thin">
        <color theme="3" tint="0.39994506668294322"/>
      </right>
      <top style="medium">
        <color auto="1"/>
      </top>
      <bottom/>
      <diagonal/>
    </border>
    <border>
      <left style="thin">
        <color theme="3" tint="0.39991454817346722"/>
      </left>
      <right style="medium">
        <color auto="1"/>
      </right>
      <top style="medium">
        <color auto="1"/>
      </top>
      <bottom/>
      <diagonal/>
    </border>
    <border>
      <left style="thin">
        <color indexed="8"/>
      </left>
      <right style="thin">
        <color indexed="8"/>
      </right>
      <top style="thin">
        <color indexed="8"/>
      </top>
      <bottom style="thin">
        <color indexed="8"/>
      </bottom>
      <diagonal/>
    </border>
    <border>
      <left style="medium">
        <color auto="1"/>
      </left>
      <right style="thin">
        <color theme="3" tint="0.39994506668294322"/>
      </right>
      <top/>
      <bottom style="thin">
        <color auto="1"/>
      </bottom>
      <diagonal/>
    </border>
    <border>
      <left style="thin">
        <color theme="3" tint="0.39994506668294322"/>
      </left>
      <right style="thin">
        <color theme="3" tint="0.39994506668294322"/>
      </right>
      <top/>
      <bottom style="thin">
        <color auto="1"/>
      </bottom>
      <diagonal/>
    </border>
    <border>
      <left style="thin">
        <color theme="3" tint="0.39994506668294322"/>
      </left>
      <right/>
      <top/>
      <bottom style="thin">
        <color auto="1"/>
      </bottom>
      <diagonal/>
    </border>
    <border>
      <left/>
      <right style="thin">
        <color theme="3" tint="0.39994506668294322"/>
      </right>
      <top/>
      <bottom style="thin">
        <color auto="1"/>
      </bottom>
      <diagonal/>
    </border>
    <border>
      <left style="thin">
        <color theme="3" tint="0.39991454817346722"/>
      </left>
      <right style="medium">
        <color auto="1"/>
      </right>
      <top/>
      <bottom style="thin">
        <color auto="1"/>
      </bottom>
      <diagonal/>
    </border>
    <border>
      <left style="medium">
        <color indexed="8"/>
      </left>
      <right/>
      <top style="thin">
        <color auto="1"/>
      </top>
      <bottom style="thin">
        <color indexed="8"/>
      </bottom>
      <diagonal/>
    </border>
    <border>
      <left style="medium">
        <color indexed="8"/>
      </left>
      <right/>
      <top style="thin">
        <color indexed="8"/>
      </top>
      <bottom style="thin">
        <color indexed="8"/>
      </bottom>
      <diagonal/>
    </border>
    <border>
      <left style="medium">
        <color indexed="8"/>
      </left>
      <right/>
      <top style="thin">
        <color indexed="8"/>
      </top>
      <bottom style="medium">
        <color indexed="8"/>
      </bottom>
      <diagonal/>
    </border>
    <border>
      <left style="thin">
        <color indexed="8"/>
      </left>
      <right style="medium">
        <color auto="1"/>
      </right>
      <top style="thin">
        <color auto="1"/>
      </top>
      <bottom style="thin">
        <color indexed="8"/>
      </bottom>
      <diagonal/>
    </border>
    <border>
      <left style="thin">
        <color indexed="8"/>
      </left>
      <right style="thin">
        <color indexed="8"/>
      </right>
      <top style="thin">
        <color auto="1"/>
      </top>
      <bottom style="thin">
        <color indexed="8"/>
      </bottom>
      <diagonal/>
    </border>
    <border>
      <left style="thin">
        <color indexed="8"/>
      </left>
      <right style="medium">
        <color auto="1"/>
      </right>
      <top style="thin">
        <color indexed="8"/>
      </top>
      <bottom style="thin">
        <color indexed="8"/>
      </bottom>
      <diagonal/>
    </border>
    <border>
      <left style="thin">
        <color indexed="8"/>
      </left>
      <right/>
      <top style="thin">
        <color auto="1"/>
      </top>
      <bottom style="thin">
        <color indexed="8"/>
      </bottom>
      <diagonal/>
    </border>
    <border>
      <left/>
      <right style="thin">
        <color indexed="8"/>
      </right>
      <top style="thin">
        <color auto="1"/>
      </top>
      <bottom style="thin">
        <color indexed="8"/>
      </bottom>
      <diagonal/>
    </border>
    <border>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8"/>
      </left>
      <right style="medium">
        <color auto="1"/>
      </right>
      <top style="thin">
        <color indexed="8"/>
      </top>
      <bottom style="medium">
        <color indexed="8"/>
      </bottom>
      <diagonal/>
    </border>
    <border>
      <left style="thin">
        <color indexed="8"/>
      </left>
      <right style="thin">
        <color indexed="8"/>
      </right>
      <top style="thin">
        <color indexed="8"/>
      </top>
      <bottom style="medium">
        <color indexed="8"/>
      </bottom>
      <diagonal/>
    </border>
    <border>
      <left style="thin">
        <color indexed="8"/>
      </left>
      <right/>
      <top style="thin">
        <color indexed="8"/>
      </top>
      <bottom style="medium">
        <color indexed="8"/>
      </bottom>
      <diagonal/>
    </border>
    <border>
      <left/>
      <right style="thin">
        <color indexed="8"/>
      </right>
      <top style="thin">
        <color indexed="8"/>
      </top>
      <bottom style="medium">
        <color indexed="8"/>
      </bottom>
      <diagonal/>
    </border>
    <border>
      <left style="thin">
        <color indexed="8"/>
      </left>
      <right style="medium">
        <color auto="1"/>
      </right>
      <top style="thin">
        <color indexed="8"/>
      </top>
      <bottom/>
      <diagonal/>
    </border>
    <border>
      <left style="thin">
        <color indexed="8"/>
      </left>
      <right style="medium">
        <color auto="1"/>
      </right>
      <top/>
      <bottom style="medium">
        <color indexed="8"/>
      </bottom>
      <diagonal/>
    </border>
    <border>
      <left style="medium">
        <color indexed="8"/>
      </left>
      <right style="medium">
        <color indexed="8"/>
      </right>
      <top style="medium">
        <color indexed="64"/>
      </top>
      <bottom style="medium">
        <color indexed="8"/>
      </bottom>
      <diagonal/>
    </border>
    <border>
      <left style="thin">
        <color indexed="64"/>
      </left>
      <right style="thin">
        <color indexed="64"/>
      </right>
      <top style="thin">
        <color indexed="64"/>
      </top>
      <bottom style="thin">
        <color indexed="64"/>
      </bottom>
      <diagonal/>
    </border>
    <border>
      <left style="thick">
        <color indexed="8"/>
      </left>
      <right style="medium">
        <color indexed="8"/>
      </right>
      <top style="medium">
        <color indexed="8"/>
      </top>
      <bottom style="medium">
        <color indexed="8"/>
      </bottom>
      <diagonal/>
    </border>
    <border>
      <left style="medium">
        <color indexed="8"/>
      </left>
      <right style="medium">
        <color indexed="8"/>
      </right>
      <top style="medium">
        <color indexed="8"/>
      </top>
      <bottom style="medium">
        <color indexed="8"/>
      </bottom>
      <diagonal/>
    </border>
    <border>
      <left style="thin">
        <color indexed="64"/>
      </left>
      <right/>
      <top style="medium">
        <color indexed="8"/>
      </top>
      <bottom/>
      <diagonal/>
    </border>
    <border>
      <left/>
      <right style="thin">
        <color indexed="8"/>
      </right>
      <top style="thin">
        <color indexed="8"/>
      </top>
      <bottom style="medium">
        <color indexed="64"/>
      </bottom>
      <diagonal/>
    </border>
    <border>
      <left style="thin">
        <color indexed="8"/>
      </left>
      <right/>
      <top style="thin">
        <color indexed="8"/>
      </top>
      <bottom/>
      <diagonal/>
    </border>
    <border>
      <left style="thin">
        <color indexed="8"/>
      </left>
      <right/>
      <top/>
      <bottom style="medium">
        <color indexed="8"/>
      </bottom>
      <diagonal/>
    </border>
    <border>
      <left style="medium">
        <color indexed="8"/>
      </left>
      <right style="medium">
        <color indexed="8"/>
      </right>
      <top style="medium">
        <color indexed="64"/>
      </top>
      <bottom style="medium">
        <color indexed="8"/>
      </bottom>
      <diagonal/>
    </border>
    <border>
      <left style="thin">
        <color indexed="64"/>
      </left>
      <right style="thin">
        <color indexed="64"/>
      </right>
      <top style="thin">
        <color indexed="64"/>
      </top>
      <bottom/>
      <diagonal/>
    </border>
  </borders>
  <cellStyleXfs count="20">
    <xf numFmtId="0" fontId="0" fillId="0" borderId="0"/>
    <xf numFmtId="0" fontId="5" fillId="0" borderId="0"/>
    <xf numFmtId="43" fontId="5" fillId="0" borderId="0" applyFont="0" applyFill="0" applyBorder="0" applyAlignment="0" applyProtection="0"/>
    <xf numFmtId="0" fontId="5" fillId="0" borderId="0"/>
    <xf numFmtId="0" fontId="9" fillId="0" borderId="0"/>
    <xf numFmtId="9" fontId="5" fillId="0" borderId="0" applyFont="0" applyFill="0" applyBorder="0" applyAlignment="0" applyProtection="0"/>
    <xf numFmtId="43" fontId="11"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0" fontId="11" fillId="0" borderId="0"/>
    <xf numFmtId="0" fontId="12" fillId="5" borderId="0" applyNumberFormat="0" applyBorder="0" applyAlignment="0" applyProtection="0"/>
    <xf numFmtId="0" fontId="10" fillId="0" borderId="0"/>
    <xf numFmtId="43" fontId="10" fillId="0" borderId="0" applyFont="0" applyFill="0" applyBorder="0" applyAlignment="0" applyProtection="0"/>
    <xf numFmtId="0" fontId="3" fillId="0" borderId="0"/>
    <xf numFmtId="43" fontId="3" fillId="0" borderId="0" applyFont="0" applyFill="0" applyBorder="0" applyAlignment="0" applyProtection="0"/>
    <xf numFmtId="9" fontId="5" fillId="0" borderId="0" applyFon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 fillId="0" borderId="0"/>
    <xf numFmtId="43" fontId="1" fillId="0" borderId="0" applyFont="0" applyFill="0" applyBorder="0" applyAlignment="0" applyProtection="0"/>
  </cellStyleXfs>
  <cellXfs count="391">
    <xf numFmtId="0" fontId="0" fillId="0" borderId="0" xfId="0"/>
    <xf numFmtId="0" fontId="0" fillId="0" borderId="3" xfId="0" applyBorder="1" applyAlignment="1">
      <alignment vertical="center" wrapText="1"/>
    </xf>
    <xf numFmtId="0" fontId="5" fillId="0" borderId="3" xfId="0" applyFont="1" applyBorder="1" applyAlignment="1">
      <alignment horizontal="center" vertical="center" wrapText="1"/>
    </xf>
    <xf numFmtId="0" fontId="8" fillId="0" borderId="0" xfId="0" applyFont="1"/>
    <xf numFmtId="0" fontId="5" fillId="0" borderId="3" xfId="0" applyFont="1" applyBorder="1" applyAlignment="1">
      <alignment horizontal="center" vertical="center"/>
    </xf>
    <xf numFmtId="3" fontId="0" fillId="0" borderId="0" xfId="0" applyNumberFormat="1"/>
    <xf numFmtId="167" fontId="5" fillId="0" borderId="3" xfId="0" applyNumberFormat="1" applyFont="1" applyBorder="1" applyAlignment="1">
      <alignment horizontal="center" vertical="center"/>
    </xf>
    <xf numFmtId="0" fontId="6" fillId="0" borderId="0" xfId="0" applyFont="1" applyAlignment="1">
      <alignment horizontal="center" vertical="top" wrapText="1"/>
    </xf>
    <xf numFmtId="165" fontId="0" fillId="0" borderId="0" xfId="8" applyNumberFormat="1" applyFont="1"/>
    <xf numFmtId="43" fontId="0" fillId="0" borderId="0" xfId="8" applyFont="1" applyFill="1" applyBorder="1"/>
    <xf numFmtId="43" fontId="0" fillId="0" borderId="0" xfId="0" applyNumberFormat="1"/>
    <xf numFmtId="0" fontId="7" fillId="0" borderId="3" xfId="0" applyFont="1" applyBorder="1" applyAlignment="1">
      <alignment vertical="top" wrapText="1"/>
    </xf>
    <xf numFmtId="0" fontId="3" fillId="0" borderId="0" xfId="13"/>
    <xf numFmtId="43" fontId="3" fillId="0" borderId="0" xfId="14" applyFont="1"/>
    <xf numFmtId="0" fontId="4" fillId="0" borderId="0" xfId="13" applyFont="1" applyAlignment="1">
      <alignment horizontal="center" vertical="center" wrapText="1"/>
    </xf>
    <xf numFmtId="0" fontId="3" fillId="0" borderId="0" xfId="13" applyAlignment="1">
      <alignment vertical="center" wrapText="1"/>
    </xf>
    <xf numFmtId="0" fontId="3" fillId="0" borderId="0" xfId="13" applyAlignment="1">
      <alignment horizontal="left"/>
    </xf>
    <xf numFmtId="43" fontId="3" fillId="0" borderId="0" xfId="8" applyFont="1"/>
    <xf numFmtId="169" fontId="3" fillId="0" borderId="0" xfId="8" applyNumberFormat="1" applyFont="1"/>
    <xf numFmtId="0" fontId="4" fillId="0" borderId="0" xfId="13" applyFont="1"/>
    <xf numFmtId="165" fontId="3" fillId="0" borderId="0" xfId="8" applyNumberFormat="1" applyFont="1"/>
    <xf numFmtId="165" fontId="3" fillId="0" borderId="0" xfId="13" applyNumberFormat="1"/>
    <xf numFmtId="49" fontId="5" fillId="0" borderId="3" xfId="0" applyNumberFormat="1" applyFont="1" applyBorder="1" applyAlignment="1">
      <alignment horizontal="center" vertical="center"/>
    </xf>
    <xf numFmtId="49" fontId="5" fillId="0" borderId="3" xfId="0" applyNumberFormat="1" applyFont="1" applyBorder="1" applyAlignment="1">
      <alignment horizontal="center" vertical="center" wrapText="1"/>
    </xf>
    <xf numFmtId="49" fontId="0" fillId="0" borderId="3" xfId="0" applyNumberFormat="1" applyBorder="1" applyAlignment="1">
      <alignment horizontal="center"/>
    </xf>
    <xf numFmtId="49" fontId="0" fillId="0" borderId="4" xfId="0" applyNumberFormat="1" applyBorder="1" applyAlignment="1">
      <alignment horizontal="center"/>
    </xf>
    <xf numFmtId="0" fontId="0" fillId="0" borderId="3" xfId="0" applyBorder="1"/>
    <xf numFmtId="0" fontId="7" fillId="0" borderId="3" xfId="0" applyFont="1" applyBorder="1" applyAlignment="1">
      <alignment vertical="top"/>
    </xf>
    <xf numFmtId="0" fontId="2" fillId="0" borderId="0" xfId="13" applyFont="1"/>
    <xf numFmtId="0" fontId="7" fillId="0" borderId="3" xfId="0" applyFont="1" applyBorder="1" applyAlignment="1">
      <alignment horizontal="center" vertical="center" wrapText="1"/>
    </xf>
    <xf numFmtId="49" fontId="2" fillId="0" borderId="3" xfId="13" applyNumberFormat="1" applyFont="1" applyBorder="1"/>
    <xf numFmtId="0" fontId="7" fillId="0" borderId="0" xfId="0" applyFont="1"/>
    <xf numFmtId="0" fontId="1" fillId="0" borderId="0" xfId="13" applyFont="1"/>
    <xf numFmtId="165" fontId="1" fillId="0" borderId="0" xfId="8" applyNumberFormat="1" applyFont="1"/>
    <xf numFmtId="0" fontId="7" fillId="0" borderId="0" xfId="0" applyFont="1" applyAlignment="1">
      <alignment horizontal="center" vertical="center" wrapText="1"/>
    </xf>
    <xf numFmtId="43" fontId="0" fillId="0" borderId="0" xfId="8" applyFont="1"/>
    <xf numFmtId="49" fontId="0" fillId="0" borderId="0" xfId="0" applyNumberFormat="1" applyAlignment="1">
      <alignment horizontal="center"/>
    </xf>
    <xf numFmtId="49" fontId="14" fillId="2" borderId="6" xfId="0" applyNumberFormat="1" applyFont="1" applyFill="1" applyBorder="1" applyAlignment="1">
      <alignment horizontal="center" vertical="center" wrapText="1"/>
    </xf>
    <xf numFmtId="14" fontId="17" fillId="6" borderId="20" xfId="11" applyNumberFormat="1" applyFont="1" applyFill="1" applyBorder="1" applyAlignment="1">
      <alignment horizontal="center" vertical="center"/>
    </xf>
    <xf numFmtId="0" fontId="17" fillId="6" borderId="21" xfId="11" applyFont="1" applyFill="1" applyBorder="1" applyAlignment="1">
      <alignment horizontal="center" vertical="center"/>
    </xf>
    <xf numFmtId="166" fontId="17" fillId="6" borderId="22" xfId="11" applyNumberFormat="1" applyFont="1" applyFill="1" applyBorder="1" applyAlignment="1">
      <alignment horizontal="center" vertical="center"/>
    </xf>
    <xf numFmtId="0" fontId="17" fillId="6" borderId="23" xfId="11" applyFont="1" applyFill="1" applyBorder="1" applyAlignment="1">
      <alignment horizontal="center" vertical="center"/>
    </xf>
    <xf numFmtId="166" fontId="17" fillId="6" borderId="26" xfId="11" applyNumberFormat="1" applyFont="1" applyFill="1" applyBorder="1" applyAlignment="1">
      <alignment horizontal="center" vertical="center"/>
    </xf>
    <xf numFmtId="14" fontId="17" fillId="6" borderId="27" xfId="11" applyNumberFormat="1" applyFont="1" applyFill="1" applyBorder="1" applyAlignment="1">
      <alignment horizontal="center" vertical="center"/>
    </xf>
    <xf numFmtId="166" fontId="17" fillId="6" borderId="28" xfId="11" applyNumberFormat="1" applyFont="1" applyFill="1" applyBorder="1" applyAlignment="1">
      <alignment horizontal="center" vertical="center"/>
    </xf>
    <xf numFmtId="14" fontId="17" fillId="6" borderId="29" xfId="11" applyNumberFormat="1" applyFont="1" applyFill="1" applyBorder="1" applyAlignment="1">
      <alignment horizontal="center" vertical="center"/>
    </xf>
    <xf numFmtId="49" fontId="0" fillId="0" borderId="3" xfId="0" applyNumberFormat="1" applyBorder="1" applyAlignment="1">
      <alignment horizontal="center" vertical="center"/>
    </xf>
    <xf numFmtId="164" fontId="0" fillId="0" borderId="0" xfId="0" applyNumberFormat="1"/>
    <xf numFmtId="0" fontId="0" fillId="0" borderId="0" xfId="0" applyAlignment="1">
      <alignment horizontal="center" wrapText="1"/>
    </xf>
    <xf numFmtId="17" fontId="0" fillId="0" borderId="0" xfId="0" applyNumberFormat="1"/>
    <xf numFmtId="0" fontId="0" fillId="0" borderId="0" xfId="0" applyAlignment="1">
      <alignment horizontal="center" vertical="center" wrapText="1"/>
    </xf>
    <xf numFmtId="0" fontId="0" fillId="0" borderId="0" xfId="0" applyAlignment="1">
      <alignment vertical="top"/>
    </xf>
    <xf numFmtId="0" fontId="23" fillId="0" borderId="0" xfId="0" applyFont="1" applyAlignment="1">
      <alignment horizontal="center" vertical="top" wrapText="1"/>
    </xf>
    <xf numFmtId="3" fontId="14" fillId="4" borderId="8" xfId="0" applyNumberFormat="1" applyFont="1" applyFill="1" applyBorder="1" applyAlignment="1">
      <alignment horizontal="right" vertical="center" wrapText="1" indent="1"/>
    </xf>
    <xf numFmtId="172" fontId="14" fillId="4" borderId="10" xfId="0" applyNumberFormat="1" applyFont="1" applyFill="1" applyBorder="1" applyAlignment="1">
      <alignment horizontal="right" vertical="center" wrapText="1" indent="1"/>
    </xf>
    <xf numFmtId="3" fontId="14" fillId="4" borderId="9" xfId="0" applyNumberFormat="1" applyFont="1" applyFill="1" applyBorder="1" applyAlignment="1">
      <alignment horizontal="right" vertical="center" wrapText="1" indent="1"/>
    </xf>
    <xf numFmtId="3" fontId="14" fillId="4" borderId="10" xfId="0" applyNumberFormat="1" applyFont="1" applyFill="1" applyBorder="1" applyAlignment="1">
      <alignment horizontal="right" vertical="center" wrapText="1" indent="1"/>
    </xf>
    <xf numFmtId="171" fontId="14" fillId="4" borderId="10" xfId="0" applyNumberFormat="1" applyFont="1" applyFill="1" applyBorder="1" applyAlignment="1">
      <alignment horizontal="right" vertical="center" wrapText="1" indent="1"/>
    </xf>
    <xf numFmtId="0" fontId="14" fillId="4" borderId="10" xfId="0" applyFont="1" applyFill="1" applyBorder="1" applyAlignment="1">
      <alignment horizontal="right" vertical="center" wrapText="1" indent="1"/>
    </xf>
    <xf numFmtId="0" fontId="1" fillId="0" borderId="47" xfId="13" applyFont="1" applyBorder="1"/>
    <xf numFmtId="0" fontId="3" fillId="0" borderId="47" xfId="13" applyBorder="1"/>
    <xf numFmtId="0" fontId="5" fillId="0" borderId="47" xfId="0" applyFont="1" applyBorder="1" applyAlignment="1">
      <alignment horizontal="center" vertical="center"/>
    </xf>
    <xf numFmtId="0" fontId="7" fillId="0" borderId="0" xfId="0" applyFont="1" applyAlignment="1">
      <alignment horizontal="center"/>
    </xf>
    <xf numFmtId="0" fontId="0" fillId="0" borderId="5" xfId="0" applyBorder="1"/>
    <xf numFmtId="0" fontId="0" fillId="0" borderId="13" xfId="0" applyBorder="1" applyAlignment="1">
      <alignment horizontal="center" vertical="center"/>
    </xf>
    <xf numFmtId="0" fontId="0" fillId="0" borderId="14" xfId="0" applyBorder="1" applyAlignment="1">
      <alignment horizontal="center" vertical="center"/>
    </xf>
    <xf numFmtId="0" fontId="4" fillId="0" borderId="0" xfId="18" applyFont="1"/>
    <xf numFmtId="0" fontId="1" fillId="0" borderId="0" xfId="18"/>
    <xf numFmtId="0" fontId="0" fillId="0" borderId="47" xfId="0" applyBorder="1" applyAlignment="1">
      <alignment vertical="center" wrapText="1"/>
    </xf>
    <xf numFmtId="167" fontId="0" fillId="0" borderId="47" xfId="0" applyNumberFormat="1" applyBorder="1" applyAlignment="1">
      <alignment horizontal="center" vertical="center"/>
    </xf>
    <xf numFmtId="43" fontId="1" fillId="0" borderId="0" xfId="8" applyFont="1"/>
    <xf numFmtId="0" fontId="4" fillId="0" borderId="5" xfId="18" applyFont="1" applyBorder="1" applyAlignment="1">
      <alignment horizontal="center"/>
    </xf>
    <xf numFmtId="0" fontId="1" fillId="0" borderId="11" xfId="18" applyBorder="1"/>
    <xf numFmtId="0" fontId="4" fillId="0" borderId="0" xfId="18" applyFont="1" applyAlignment="1">
      <alignment horizontal="center" vertical="center" wrapText="1"/>
    </xf>
    <xf numFmtId="169" fontId="1" fillId="0" borderId="0" xfId="8" applyNumberFormat="1" applyFont="1"/>
    <xf numFmtId="0" fontId="7" fillId="0" borderId="47" xfId="0" applyFont="1" applyBorder="1" applyAlignment="1">
      <alignment horizontal="center" vertical="center" wrapText="1"/>
    </xf>
    <xf numFmtId="0" fontId="0" fillId="0" borderId="47" xfId="0" applyBorder="1"/>
    <xf numFmtId="0" fontId="0" fillId="0" borderId="11" xfId="0" applyBorder="1"/>
    <xf numFmtId="168" fontId="5" fillId="0" borderId="47" xfId="1" applyNumberFormat="1" applyBorder="1" applyAlignment="1">
      <alignment horizontal="center" vertical="center" wrapText="1"/>
    </xf>
    <xf numFmtId="168" fontId="0" fillId="0" borderId="47" xfId="15" applyNumberFormat="1" applyFont="1" applyBorder="1" applyAlignment="1">
      <alignment horizontal="center" vertical="center"/>
    </xf>
    <xf numFmtId="166" fontId="0" fillId="0" borderId="0" xfId="0" applyNumberFormat="1"/>
    <xf numFmtId="165" fontId="7" fillId="0" borderId="0" xfId="8" applyNumberFormat="1" applyFont="1" applyBorder="1" applyAlignment="1">
      <alignment horizontal="center"/>
    </xf>
    <xf numFmtId="165" fontId="1" fillId="0" borderId="11" xfId="8" applyNumberFormat="1" applyFont="1" applyBorder="1"/>
    <xf numFmtId="165" fontId="0" fillId="0" borderId="47" xfId="8" applyNumberFormat="1" applyFont="1" applyBorder="1"/>
    <xf numFmtId="49" fontId="0" fillId="0" borderId="47" xfId="0" applyNumberFormat="1" applyBorder="1" applyAlignment="1">
      <alignment horizontal="center" vertical="center"/>
    </xf>
    <xf numFmtId="49" fontId="7" fillId="0" borderId="0" xfId="0" applyNumberFormat="1" applyFont="1" applyAlignment="1">
      <alignment horizontal="left"/>
    </xf>
    <xf numFmtId="3" fontId="14" fillId="4" borderId="46" xfId="0" applyNumberFormat="1" applyFont="1" applyFill="1" applyBorder="1" applyAlignment="1">
      <alignment horizontal="right" vertical="center" wrapText="1" indent="1"/>
    </xf>
    <xf numFmtId="3" fontId="14" fillId="4" borderId="49" xfId="0" applyNumberFormat="1" applyFont="1" applyFill="1" applyBorder="1" applyAlignment="1">
      <alignment horizontal="right" vertical="center" wrapText="1" indent="1"/>
    </xf>
    <xf numFmtId="0" fontId="14" fillId="4" borderId="49" xfId="0" applyFont="1" applyFill="1" applyBorder="1" applyAlignment="1">
      <alignment horizontal="right" vertical="center" wrapText="1" indent="1"/>
    </xf>
    <xf numFmtId="171" fontId="14" fillId="4" borderId="49" xfId="0" applyNumberFormat="1" applyFont="1" applyFill="1" applyBorder="1" applyAlignment="1">
      <alignment horizontal="right" vertical="center" wrapText="1" indent="1"/>
    </xf>
    <xf numFmtId="0" fontId="14" fillId="0" borderId="0" xfId="0" applyFont="1" applyAlignment="1">
      <alignment vertical="top"/>
    </xf>
    <xf numFmtId="0" fontId="0" fillId="0" borderId="50" xfId="0" applyBorder="1"/>
    <xf numFmtId="169" fontId="0" fillId="0" borderId="0" xfId="8" applyNumberFormat="1" applyFont="1" applyFill="1"/>
    <xf numFmtId="43" fontId="0" fillId="0" borderId="0" xfId="8" applyFont="1" applyFill="1"/>
    <xf numFmtId="0" fontId="21" fillId="0" borderId="0" xfId="0" applyFont="1" applyAlignment="1">
      <alignment horizontal="left" wrapText="1"/>
    </xf>
    <xf numFmtId="0" fontId="2" fillId="0" borderId="3" xfId="13" applyFont="1" applyBorder="1" applyAlignment="1">
      <alignment horizontal="center"/>
    </xf>
    <xf numFmtId="0" fontId="0" fillId="0" borderId="3" xfId="0" applyBorder="1" applyAlignment="1">
      <alignment horizontal="center"/>
    </xf>
    <xf numFmtId="0" fontId="3" fillId="0" borderId="0" xfId="13" applyAlignment="1">
      <alignment horizontal="center" vertical="center"/>
    </xf>
    <xf numFmtId="0" fontId="0" fillId="0" borderId="3" xfId="0" applyBorder="1" applyAlignment="1">
      <alignment horizontal="left" vertical="center"/>
    </xf>
    <xf numFmtId="0" fontId="25" fillId="0" borderId="0" xfId="18" applyFont="1"/>
    <xf numFmtId="43" fontId="5" fillId="8" borderId="3" xfId="8" applyFont="1" applyFill="1" applyBorder="1" applyAlignment="1">
      <alignment vertical="center"/>
    </xf>
    <xf numFmtId="0" fontId="5" fillId="8" borderId="3" xfId="0" applyFont="1" applyFill="1" applyBorder="1" applyAlignment="1">
      <alignment horizontal="center" vertical="center"/>
    </xf>
    <xf numFmtId="0" fontId="5" fillId="8" borderId="3" xfId="0" applyFont="1" applyFill="1" applyBorder="1" applyAlignment="1">
      <alignment horizontal="left" vertical="center"/>
    </xf>
    <xf numFmtId="43" fontId="3" fillId="8" borderId="0" xfId="8" applyFont="1" applyFill="1"/>
    <xf numFmtId="0" fontId="3" fillId="8" borderId="0" xfId="13" applyFill="1"/>
    <xf numFmtId="169" fontId="3" fillId="8" borderId="0" xfId="8" applyNumberFormat="1" applyFont="1" applyFill="1"/>
    <xf numFmtId="167" fontId="5" fillId="8" borderId="3" xfId="0" applyNumberFormat="1" applyFont="1" applyFill="1" applyBorder="1" applyAlignment="1">
      <alignment horizontal="center" vertical="center"/>
    </xf>
    <xf numFmtId="0" fontId="5" fillId="8" borderId="3" xfId="0" applyFont="1" applyFill="1" applyBorder="1" applyAlignment="1">
      <alignment horizontal="center" vertical="center" wrapText="1"/>
    </xf>
    <xf numFmtId="0" fontId="0" fillId="8" borderId="3" xfId="0" applyFill="1" applyBorder="1" applyAlignment="1">
      <alignment vertical="center" wrapText="1"/>
    </xf>
    <xf numFmtId="165" fontId="5" fillId="8" borderId="3" xfId="8" applyNumberFormat="1" applyFont="1" applyFill="1" applyBorder="1" applyAlignment="1">
      <alignment vertical="center"/>
    </xf>
    <xf numFmtId="49" fontId="5" fillId="8" borderId="3" xfId="0" applyNumberFormat="1" applyFont="1" applyFill="1" applyBorder="1" applyAlignment="1">
      <alignment horizontal="center" vertical="center"/>
    </xf>
    <xf numFmtId="165" fontId="0" fillId="8" borderId="3" xfId="8" applyNumberFormat="1" applyFont="1" applyFill="1" applyBorder="1"/>
    <xf numFmtId="43" fontId="0" fillId="8" borderId="3" xfId="0" applyNumberFormat="1" applyFill="1" applyBorder="1"/>
    <xf numFmtId="43" fontId="0" fillId="8" borderId="3" xfId="8" applyFont="1" applyFill="1" applyBorder="1"/>
    <xf numFmtId="49" fontId="0" fillId="8" borderId="3" xfId="0" applyNumberFormat="1" applyFill="1" applyBorder="1" applyAlignment="1">
      <alignment horizontal="center"/>
    </xf>
    <xf numFmtId="165" fontId="0" fillId="8" borderId="0" xfId="8" applyNumberFormat="1" applyFont="1" applyFill="1"/>
    <xf numFmtId="49" fontId="0" fillId="8" borderId="4" xfId="0" applyNumberFormat="1" applyFill="1" applyBorder="1" applyAlignment="1">
      <alignment horizontal="center"/>
    </xf>
    <xf numFmtId="43" fontId="3" fillId="8" borderId="3" xfId="8" applyFont="1" applyFill="1" applyBorder="1"/>
    <xf numFmtId="3" fontId="5" fillId="8" borderId="3" xfId="0" applyNumberFormat="1" applyFont="1" applyFill="1" applyBorder="1" applyAlignment="1">
      <alignment vertical="center"/>
    </xf>
    <xf numFmtId="0" fontId="0" fillId="8" borderId="0" xfId="0" applyFill="1"/>
    <xf numFmtId="0" fontId="3" fillId="8" borderId="47" xfId="13" applyFill="1" applyBorder="1"/>
    <xf numFmtId="167" fontId="5" fillId="8" borderId="47" xfId="0" applyNumberFormat="1" applyFont="1" applyFill="1" applyBorder="1" applyAlignment="1">
      <alignment horizontal="center" vertical="center"/>
    </xf>
    <xf numFmtId="0" fontId="5" fillId="8" borderId="47" xfId="0" applyFont="1" applyFill="1" applyBorder="1" applyAlignment="1">
      <alignment horizontal="center" vertical="center"/>
    </xf>
    <xf numFmtId="0" fontId="5" fillId="8" borderId="47" xfId="0" applyFont="1" applyFill="1" applyBorder="1" applyAlignment="1">
      <alignment horizontal="center" vertical="center" wrapText="1"/>
    </xf>
    <xf numFmtId="166" fontId="3" fillId="8" borderId="47" xfId="13" applyNumberFormat="1" applyFill="1" applyBorder="1" applyAlignment="1">
      <alignment horizontal="left"/>
    </xf>
    <xf numFmtId="165" fontId="3" fillId="8" borderId="47" xfId="8" applyNumberFormat="1" applyFont="1" applyFill="1" applyBorder="1"/>
    <xf numFmtId="49" fontId="3" fillId="8" borderId="47" xfId="13" applyNumberFormat="1" applyFill="1" applyBorder="1"/>
    <xf numFmtId="165" fontId="5" fillId="8" borderId="47" xfId="8" applyNumberFormat="1" applyFont="1" applyFill="1" applyBorder="1" applyAlignment="1">
      <alignment horizontal="center" vertical="center"/>
    </xf>
    <xf numFmtId="165" fontId="5" fillId="8" borderId="47" xfId="8" applyNumberFormat="1" applyFont="1" applyFill="1" applyBorder="1" applyAlignment="1">
      <alignment horizontal="center" vertical="center" wrapText="1"/>
    </xf>
    <xf numFmtId="165" fontId="0" fillId="8" borderId="47" xfId="8" applyNumberFormat="1" applyFont="1" applyFill="1" applyBorder="1" applyAlignment="1">
      <alignment horizontal="center" vertical="center"/>
    </xf>
    <xf numFmtId="0" fontId="0" fillId="8" borderId="3" xfId="0" applyFill="1" applyBorder="1"/>
    <xf numFmtId="165" fontId="1" fillId="8" borderId="0" xfId="8" applyNumberFormat="1" applyFont="1" applyFill="1"/>
    <xf numFmtId="43" fontId="0" fillId="8" borderId="47" xfId="8" applyFont="1" applyFill="1" applyBorder="1"/>
    <xf numFmtId="43" fontId="0" fillId="8" borderId="47" xfId="0" applyNumberFormat="1" applyFill="1" applyBorder="1"/>
    <xf numFmtId="165" fontId="0" fillId="8" borderId="47" xfId="8" applyNumberFormat="1" applyFont="1" applyFill="1" applyBorder="1"/>
    <xf numFmtId="43" fontId="5" fillId="8" borderId="47" xfId="8" applyFont="1" applyFill="1" applyBorder="1" applyAlignment="1">
      <alignment vertical="center"/>
    </xf>
    <xf numFmtId="43" fontId="1" fillId="8" borderId="0" xfId="19" applyFont="1" applyFill="1"/>
    <xf numFmtId="165" fontId="5" fillId="8" borderId="47" xfId="8" applyNumberFormat="1" applyFont="1" applyFill="1" applyBorder="1" applyAlignment="1">
      <alignment vertical="center"/>
    </xf>
    <xf numFmtId="0" fontId="4" fillId="0" borderId="0" xfId="18" applyFont="1" applyAlignment="1">
      <alignment horizontal="center"/>
    </xf>
    <xf numFmtId="0" fontId="1" fillId="8" borderId="47" xfId="18" applyFill="1" applyBorder="1"/>
    <xf numFmtId="167" fontId="0" fillId="8" borderId="47" xfId="0" applyNumberFormat="1" applyFill="1" applyBorder="1" applyAlignment="1">
      <alignment horizontal="center" vertical="center"/>
    </xf>
    <xf numFmtId="166" fontId="1" fillId="8" borderId="47" xfId="18" applyNumberFormat="1" applyFill="1" applyBorder="1"/>
    <xf numFmtId="165" fontId="1" fillId="8" borderId="47" xfId="19" applyNumberFormat="1" applyFont="1" applyFill="1" applyBorder="1"/>
    <xf numFmtId="165" fontId="1" fillId="8" borderId="47" xfId="8" applyNumberFormat="1" applyFont="1" applyFill="1" applyBorder="1"/>
    <xf numFmtId="0" fontId="4" fillId="8" borderId="47" xfId="18" applyFont="1" applyFill="1" applyBorder="1"/>
    <xf numFmtId="0" fontId="4" fillId="8" borderId="47" xfId="18" applyFont="1" applyFill="1" applyBorder="1" applyAlignment="1">
      <alignment horizontal="center" wrapText="1"/>
    </xf>
    <xf numFmtId="49" fontId="1" fillId="8" borderId="47" xfId="18" applyNumberFormat="1" applyFill="1" applyBorder="1"/>
    <xf numFmtId="43" fontId="1" fillId="8" borderId="47" xfId="19" applyFont="1" applyFill="1" applyBorder="1"/>
    <xf numFmtId="0" fontId="1" fillId="8" borderId="0" xfId="18" applyFill="1"/>
    <xf numFmtId="166" fontId="1" fillId="8" borderId="0" xfId="18" applyNumberFormat="1" applyFill="1"/>
    <xf numFmtId="169" fontId="1" fillId="8" borderId="0" xfId="8" applyNumberFormat="1" applyFont="1" applyFill="1"/>
    <xf numFmtId="169" fontId="1" fillId="8" borderId="47" xfId="8" applyNumberFormat="1" applyFont="1" applyFill="1" applyBorder="1"/>
    <xf numFmtId="0" fontId="0" fillId="8" borderId="47" xfId="0" applyFill="1" applyBorder="1"/>
    <xf numFmtId="165" fontId="4" fillId="0" borderId="0" xfId="8" applyNumberFormat="1" applyFont="1" applyBorder="1" applyAlignment="1">
      <alignment horizontal="center"/>
    </xf>
    <xf numFmtId="167" fontId="5" fillId="0" borderId="47" xfId="0" applyNumberFormat="1" applyFont="1" applyBorder="1" applyAlignment="1">
      <alignment horizontal="center" vertical="center"/>
    </xf>
    <xf numFmtId="0" fontId="5" fillId="0" borderId="47" xfId="0" applyFont="1" applyBorder="1" applyAlignment="1">
      <alignment horizontal="center" vertical="center" wrapText="1"/>
    </xf>
    <xf numFmtId="166" fontId="3" fillId="8" borderId="47" xfId="13" applyNumberFormat="1" applyFill="1" applyBorder="1"/>
    <xf numFmtId="43" fontId="3" fillId="8" borderId="47" xfId="14" applyFont="1" applyFill="1" applyBorder="1"/>
    <xf numFmtId="169" fontId="3" fillId="8" borderId="47" xfId="8" applyNumberFormat="1" applyFont="1" applyFill="1" applyBorder="1"/>
    <xf numFmtId="169" fontId="3" fillId="0" borderId="0" xfId="8" applyNumberFormat="1" applyFont="1" applyFill="1"/>
    <xf numFmtId="165" fontId="3" fillId="8" borderId="47" xfId="14" applyNumberFormat="1" applyFont="1" applyFill="1" applyBorder="1"/>
    <xf numFmtId="49" fontId="5" fillId="8" borderId="47" xfId="0" applyNumberFormat="1" applyFont="1" applyFill="1" applyBorder="1" applyAlignment="1">
      <alignment horizontal="center" vertical="center"/>
    </xf>
    <xf numFmtId="49" fontId="5" fillId="8" borderId="47" xfId="0" applyNumberFormat="1" applyFont="1" applyFill="1" applyBorder="1" applyAlignment="1">
      <alignment horizontal="center" vertical="center" wrapText="1"/>
    </xf>
    <xf numFmtId="0" fontId="7" fillId="0" borderId="3" xfId="0" applyFont="1" applyBorder="1" applyAlignment="1">
      <alignment horizontal="center" vertical="top" wrapText="1"/>
    </xf>
    <xf numFmtId="0" fontId="2" fillId="8" borderId="3" xfId="0" applyFont="1" applyFill="1" applyBorder="1" applyAlignment="1">
      <alignment horizontal="center"/>
    </xf>
    <xf numFmtId="0" fontId="5" fillId="8" borderId="3" xfId="0" applyFont="1" applyFill="1" applyBorder="1" applyAlignment="1">
      <alignment horizontal="center"/>
    </xf>
    <xf numFmtId="0" fontId="2" fillId="8" borderId="3" xfId="0" applyFont="1" applyFill="1" applyBorder="1" applyAlignment="1">
      <alignment horizontal="center" wrapText="1"/>
    </xf>
    <xf numFmtId="0" fontId="1" fillId="8" borderId="3" xfId="0" applyFont="1" applyFill="1" applyBorder="1" applyAlignment="1">
      <alignment horizontal="center" wrapText="1"/>
    </xf>
    <xf numFmtId="43" fontId="3" fillId="8" borderId="47" xfId="8" applyFont="1" applyFill="1" applyBorder="1"/>
    <xf numFmtId="0" fontId="7" fillId="0" borderId="47" xfId="0" applyFont="1" applyBorder="1" applyAlignment="1">
      <alignment horizontal="center" vertical="center"/>
    </xf>
    <xf numFmtId="0" fontId="0" fillId="8" borderId="47" xfId="0" applyFill="1" applyBorder="1" applyAlignment="1">
      <alignment vertical="center" wrapText="1"/>
    </xf>
    <xf numFmtId="0" fontId="0" fillId="8" borderId="47" xfId="0" applyFill="1" applyBorder="1" applyAlignment="1">
      <alignment horizontal="center" vertical="center" wrapText="1"/>
    </xf>
    <xf numFmtId="0" fontId="5" fillId="8" borderId="47" xfId="0" applyFont="1" applyFill="1" applyBorder="1" applyAlignment="1">
      <alignment horizontal="left" vertical="center"/>
    </xf>
    <xf numFmtId="3" fontId="5" fillId="8" borderId="47" xfId="0" applyNumberFormat="1" applyFont="1" applyFill="1" applyBorder="1" applyAlignment="1">
      <alignment vertical="center"/>
    </xf>
    <xf numFmtId="168" fontId="1" fillId="0" borderId="0" xfId="18" applyNumberFormat="1"/>
    <xf numFmtId="169" fontId="0" fillId="8" borderId="47" xfId="8" applyNumberFormat="1" applyFont="1" applyFill="1" applyBorder="1"/>
    <xf numFmtId="0" fontId="7" fillId="8" borderId="47" xfId="0" applyFont="1" applyFill="1" applyBorder="1" applyAlignment="1">
      <alignment horizontal="center" vertical="center" wrapText="1"/>
    </xf>
    <xf numFmtId="0" fontId="0" fillId="8" borderId="3" xfId="0" applyFill="1" applyBorder="1" applyAlignment="1">
      <alignment horizontal="center" vertical="center"/>
    </xf>
    <xf numFmtId="0" fontId="0" fillId="8" borderId="47" xfId="0" applyFill="1" applyBorder="1" applyAlignment="1">
      <alignment horizontal="center" vertical="center"/>
    </xf>
    <xf numFmtId="0" fontId="1" fillId="8" borderId="47" xfId="0" applyFont="1" applyFill="1" applyBorder="1" applyAlignment="1">
      <alignment horizontal="center" wrapText="1"/>
    </xf>
    <xf numFmtId="43" fontId="1" fillId="8" borderId="47" xfId="8" applyFont="1" applyFill="1" applyBorder="1"/>
    <xf numFmtId="0" fontId="1" fillId="8" borderId="47" xfId="18" applyFill="1" applyBorder="1" applyAlignment="1">
      <alignment horizontal="center"/>
    </xf>
    <xf numFmtId="0" fontId="26" fillId="0" borderId="0" xfId="0" applyFont="1"/>
    <xf numFmtId="0" fontId="0" fillId="0" borderId="0" xfId="0" applyAlignment="1">
      <alignment horizontal="left" vertical="center"/>
    </xf>
    <xf numFmtId="0" fontId="27" fillId="0" borderId="0" xfId="0" applyFont="1" applyAlignment="1">
      <alignment vertical="center"/>
    </xf>
    <xf numFmtId="49" fontId="27" fillId="0" borderId="0" xfId="0" applyNumberFormat="1" applyFont="1" applyAlignment="1">
      <alignment vertical="top" wrapText="1"/>
    </xf>
    <xf numFmtId="49" fontId="27" fillId="0" borderId="0" xfId="0" applyNumberFormat="1" applyFont="1" applyAlignment="1">
      <alignment horizontal="left" vertical="top" wrapText="1"/>
    </xf>
    <xf numFmtId="49" fontId="27" fillId="0" borderId="0" xfId="0" applyNumberFormat="1" applyFont="1" applyAlignment="1">
      <alignment horizontal="left" vertical="top"/>
    </xf>
    <xf numFmtId="0" fontId="0" fillId="8" borderId="47" xfId="0" applyFill="1" applyBorder="1" applyAlignment="1">
      <alignment horizontal="left" vertical="center"/>
    </xf>
    <xf numFmtId="0" fontId="1" fillId="0" borderId="0" xfId="18" applyAlignment="1">
      <alignment horizontal="left" vertical="top"/>
    </xf>
    <xf numFmtId="165" fontId="3" fillId="0" borderId="47" xfId="8" applyNumberFormat="1" applyFont="1" applyBorder="1"/>
    <xf numFmtId="0" fontId="3" fillId="0" borderId="47" xfId="13" applyBorder="1" applyAlignment="1">
      <alignment horizontal="center" vertical="center"/>
    </xf>
    <xf numFmtId="0" fontId="3" fillId="0" borderId="47" xfId="13" applyBorder="1" applyAlignment="1">
      <alignment vertical="center"/>
    </xf>
    <xf numFmtId="0" fontId="1" fillId="0" borderId="47" xfId="13" applyFont="1" applyBorder="1" applyAlignment="1">
      <alignment vertical="center"/>
    </xf>
    <xf numFmtId="0" fontId="7" fillId="0" borderId="0" xfId="0" applyFont="1" applyAlignment="1">
      <alignment vertical="top" wrapText="1"/>
    </xf>
    <xf numFmtId="0" fontId="14" fillId="3" borderId="48" xfId="0" applyFont="1" applyFill="1" applyBorder="1" applyAlignment="1">
      <alignment horizontal="left" vertical="top" wrapText="1"/>
    </xf>
    <xf numFmtId="0" fontId="14" fillId="3" borderId="2" xfId="0" applyFont="1" applyFill="1" applyBorder="1" applyAlignment="1">
      <alignment horizontal="left" vertical="top" wrapText="1"/>
    </xf>
    <xf numFmtId="0" fontId="14" fillId="3" borderId="48" xfId="0" applyFont="1" applyFill="1" applyBorder="1" applyAlignment="1">
      <alignment horizontal="left" vertical="center" wrapText="1"/>
    </xf>
    <xf numFmtId="0" fontId="14" fillId="3" borderId="49" xfId="0" applyFont="1" applyFill="1" applyBorder="1" applyAlignment="1">
      <alignment horizontal="left" vertical="center" wrapText="1"/>
    </xf>
    <xf numFmtId="0" fontId="2" fillId="9" borderId="3" xfId="0" applyFont="1" applyFill="1" applyBorder="1" applyAlignment="1">
      <alignment horizontal="center" wrapText="1"/>
    </xf>
    <xf numFmtId="165" fontId="24" fillId="0" borderId="0" xfId="8" applyNumberFormat="1" applyFont="1"/>
    <xf numFmtId="0" fontId="28" fillId="0" borderId="47" xfId="0" applyFont="1" applyBorder="1" applyAlignment="1">
      <alignment horizontal="center" vertical="center" wrapText="1"/>
    </xf>
    <xf numFmtId="0" fontId="28" fillId="0" borderId="47" xfId="0" applyFont="1" applyBorder="1" applyAlignment="1">
      <alignment horizontal="center" vertical="center"/>
    </xf>
    <xf numFmtId="165" fontId="24" fillId="8" borderId="47" xfId="8" applyNumberFormat="1" applyFont="1" applyFill="1" applyBorder="1"/>
    <xf numFmtId="0" fontId="1" fillId="9" borderId="0" xfId="18" applyFill="1"/>
    <xf numFmtId="43" fontId="1" fillId="9" borderId="47" xfId="8" applyFont="1" applyFill="1" applyBorder="1"/>
    <xf numFmtId="0" fontId="0" fillId="9" borderId="47" xfId="0" applyFill="1" applyBorder="1" applyAlignment="1">
      <alignment horizontal="center" vertical="center" wrapText="1"/>
    </xf>
    <xf numFmtId="0" fontId="5" fillId="9" borderId="47" xfId="0" applyFont="1" applyFill="1" applyBorder="1" applyAlignment="1">
      <alignment horizontal="left" vertical="center"/>
    </xf>
    <xf numFmtId="0" fontId="1" fillId="9" borderId="47" xfId="13" applyFont="1" applyFill="1" applyBorder="1"/>
    <xf numFmtId="0" fontId="0" fillId="9" borderId="3" xfId="0" applyFill="1" applyBorder="1" applyAlignment="1">
      <alignment horizontal="center" vertical="center"/>
    </xf>
    <xf numFmtId="165" fontId="0" fillId="9" borderId="47" xfId="8" applyNumberFormat="1" applyFont="1" applyFill="1" applyBorder="1"/>
    <xf numFmtId="165" fontId="0" fillId="9" borderId="3" xfId="8" applyNumberFormat="1" applyFont="1" applyFill="1" applyBorder="1"/>
    <xf numFmtId="166" fontId="0" fillId="9" borderId="3" xfId="0" applyNumberFormat="1" applyFill="1" applyBorder="1" applyAlignment="1">
      <alignment horizontal="center"/>
    </xf>
    <xf numFmtId="165" fontId="1" fillId="9" borderId="0" xfId="8" applyNumberFormat="1" applyFont="1" applyFill="1"/>
    <xf numFmtId="165" fontId="3" fillId="9" borderId="0" xfId="8" applyNumberFormat="1" applyFont="1" applyFill="1"/>
    <xf numFmtId="165" fontId="0" fillId="9" borderId="0" xfId="8" applyNumberFormat="1" applyFont="1" applyFill="1"/>
    <xf numFmtId="0" fontId="0" fillId="10" borderId="3" xfId="0" applyFill="1" applyBorder="1" applyAlignment="1">
      <alignment horizontal="center"/>
    </xf>
    <xf numFmtId="165" fontId="0" fillId="10" borderId="3" xfId="8" applyNumberFormat="1" applyFont="1" applyFill="1" applyBorder="1"/>
    <xf numFmtId="165" fontId="0" fillId="10" borderId="47" xfId="8" applyNumberFormat="1" applyFont="1" applyFill="1" applyBorder="1"/>
    <xf numFmtId="165" fontId="0" fillId="10" borderId="0" xfId="8" applyNumberFormat="1" applyFont="1" applyFill="1"/>
    <xf numFmtId="49" fontId="5" fillId="9" borderId="3" xfId="0" applyNumberFormat="1" applyFont="1" applyFill="1" applyBorder="1" applyAlignment="1">
      <alignment horizontal="center" vertical="center"/>
    </xf>
    <xf numFmtId="49" fontId="5" fillId="9" borderId="47" xfId="0" applyNumberFormat="1" applyFont="1" applyFill="1" applyBorder="1" applyAlignment="1">
      <alignment horizontal="center" vertical="center"/>
    </xf>
    <xf numFmtId="49" fontId="0" fillId="9" borderId="47" xfId="0" applyNumberFormat="1" applyFill="1" applyBorder="1" applyAlignment="1">
      <alignment horizontal="center"/>
    </xf>
    <xf numFmtId="49" fontId="0" fillId="9" borderId="3" xfId="0" applyNumberFormat="1" applyFill="1" applyBorder="1" applyAlignment="1">
      <alignment horizontal="center"/>
    </xf>
    <xf numFmtId="0" fontId="29" fillId="3" borderId="54" xfId="0" applyFont="1" applyFill="1" applyBorder="1" applyAlignment="1">
      <alignment horizontal="left" vertical="top" wrapText="1"/>
    </xf>
    <xf numFmtId="3" fontId="29" fillId="4" borderId="54" xfId="0" applyNumberFormat="1" applyFont="1" applyFill="1" applyBorder="1" applyAlignment="1">
      <alignment horizontal="center" vertical="top" wrapText="1"/>
    </xf>
    <xf numFmtId="0" fontId="29" fillId="3" borderId="49" xfId="0" applyFont="1" applyFill="1" applyBorder="1" applyAlignment="1">
      <alignment horizontal="left" vertical="top" wrapText="1"/>
    </xf>
    <xf numFmtId="0" fontId="29" fillId="4" borderId="49" xfId="0" applyFont="1" applyFill="1" applyBorder="1" applyAlignment="1">
      <alignment horizontal="center" vertical="top" wrapText="1"/>
    </xf>
    <xf numFmtId="3" fontId="29" fillId="4" borderId="49" xfId="0" applyNumberFormat="1" applyFont="1" applyFill="1" applyBorder="1" applyAlignment="1">
      <alignment horizontal="center" vertical="top" wrapText="1"/>
    </xf>
    <xf numFmtId="0" fontId="30" fillId="4" borderId="49" xfId="0" applyFont="1" applyFill="1" applyBorder="1" applyAlignment="1">
      <alignment horizontal="center" vertical="top" wrapText="1"/>
    </xf>
    <xf numFmtId="43" fontId="29" fillId="4" borderId="49" xfId="8" applyFont="1" applyFill="1" applyBorder="1" applyAlignment="1">
      <alignment horizontal="center" vertical="top" wrapText="1"/>
    </xf>
    <xf numFmtId="0" fontId="7" fillId="9" borderId="47" xfId="0" applyFont="1" applyFill="1" applyBorder="1" applyAlignment="1">
      <alignment horizontal="center" vertical="center" wrapText="1"/>
    </xf>
    <xf numFmtId="169" fontId="0" fillId="9" borderId="47" xfId="8" applyNumberFormat="1" applyFont="1" applyFill="1" applyBorder="1"/>
    <xf numFmtId="0" fontId="0" fillId="9" borderId="47" xfId="0" applyFill="1" applyBorder="1"/>
    <xf numFmtId="3" fontId="1" fillId="9" borderId="47" xfId="0" applyNumberFormat="1" applyFont="1" applyFill="1" applyBorder="1"/>
    <xf numFmtId="0" fontId="1" fillId="9" borderId="47" xfId="18" applyFill="1" applyBorder="1"/>
    <xf numFmtId="0" fontId="1" fillId="9" borderId="47" xfId="18" applyFill="1" applyBorder="1" applyAlignment="1">
      <alignment horizontal="center"/>
    </xf>
    <xf numFmtId="165" fontId="18" fillId="9" borderId="47" xfId="8" applyNumberFormat="1" applyFont="1" applyFill="1" applyBorder="1"/>
    <xf numFmtId="49" fontId="0" fillId="8" borderId="47" xfId="0" applyNumberFormat="1" applyFill="1" applyBorder="1" applyAlignment="1">
      <alignment horizontal="center"/>
    </xf>
    <xf numFmtId="43" fontId="0" fillId="9" borderId="47" xfId="8" applyFont="1" applyFill="1" applyBorder="1"/>
    <xf numFmtId="43" fontId="18" fillId="9" borderId="47" xfId="8" applyFont="1" applyFill="1" applyBorder="1"/>
    <xf numFmtId="4" fontId="0" fillId="9" borderId="47" xfId="0" applyNumberFormat="1" applyFill="1" applyBorder="1" applyAlignment="1">
      <alignment vertical="center"/>
    </xf>
    <xf numFmtId="49" fontId="1" fillId="9" borderId="47" xfId="18" applyNumberFormat="1" applyFill="1" applyBorder="1"/>
    <xf numFmtId="0" fontId="1" fillId="9" borderId="12" xfId="18" applyFill="1" applyBorder="1"/>
    <xf numFmtId="0" fontId="5" fillId="9" borderId="47" xfId="0" applyFont="1" applyFill="1" applyBorder="1" applyAlignment="1">
      <alignment horizontal="center"/>
    </xf>
    <xf numFmtId="0" fontId="1" fillId="9" borderId="47" xfId="0" applyFont="1" applyFill="1" applyBorder="1" applyAlignment="1">
      <alignment horizontal="center" wrapText="1"/>
    </xf>
    <xf numFmtId="0" fontId="1" fillId="0" borderId="0" xfId="18" applyAlignment="1">
      <alignment vertical="center"/>
    </xf>
    <xf numFmtId="165" fontId="24" fillId="11" borderId="47" xfId="8" applyNumberFormat="1" applyFont="1" applyFill="1" applyBorder="1"/>
    <xf numFmtId="43" fontId="3" fillId="9" borderId="47" xfId="8" applyFont="1" applyFill="1" applyBorder="1"/>
    <xf numFmtId="0" fontId="0" fillId="9" borderId="47" xfId="0" applyFill="1" applyBorder="1" applyAlignment="1">
      <alignment horizontal="center" vertical="center"/>
    </xf>
    <xf numFmtId="49" fontId="5" fillId="0" borderId="47" xfId="0" applyNumberFormat="1" applyFont="1" applyBorder="1" applyAlignment="1">
      <alignment horizontal="center" vertical="center"/>
    </xf>
    <xf numFmtId="0" fontId="0" fillId="0" borderId="47" xfId="0" applyBorder="1" applyAlignment="1">
      <alignment horizontal="center"/>
    </xf>
    <xf numFmtId="165" fontId="24" fillId="11" borderId="55" xfId="8" applyNumberFormat="1" applyFont="1" applyFill="1" applyBorder="1"/>
    <xf numFmtId="0" fontId="27" fillId="0" borderId="12" xfId="0" applyFont="1" applyBorder="1" applyAlignment="1">
      <alignment vertical="center"/>
    </xf>
    <xf numFmtId="0" fontId="27" fillId="0" borderId="14" xfId="0" applyFont="1" applyBorder="1" applyAlignment="1">
      <alignment vertical="center"/>
    </xf>
    <xf numFmtId="4" fontId="0" fillId="0" borderId="0" xfId="0" applyNumberFormat="1" applyAlignment="1">
      <alignment vertical="center"/>
    </xf>
    <xf numFmtId="4" fontId="7" fillId="0" borderId="0" xfId="0" applyNumberFormat="1" applyFont="1" applyAlignment="1">
      <alignment vertical="center"/>
    </xf>
    <xf numFmtId="165" fontId="1" fillId="0" borderId="0" xfId="8" applyNumberFormat="1" applyFont="1" applyFill="1"/>
    <xf numFmtId="165" fontId="3" fillId="0" borderId="0" xfId="8" applyNumberFormat="1" applyFont="1" applyFill="1"/>
    <xf numFmtId="43" fontId="27" fillId="0" borderId="0" xfId="0" applyNumberFormat="1" applyFont="1" applyAlignment="1">
      <alignment vertical="top" wrapText="1"/>
    </xf>
    <xf numFmtId="165" fontId="3" fillId="0" borderId="47" xfId="8" applyNumberFormat="1" applyFont="1" applyFill="1" applyBorder="1"/>
    <xf numFmtId="165" fontId="1" fillId="0" borderId="0" xfId="13" applyNumberFormat="1" applyFont="1"/>
    <xf numFmtId="43" fontId="0" fillId="8" borderId="12" xfId="0" applyNumberFormat="1" applyFill="1" applyBorder="1"/>
    <xf numFmtId="0" fontId="0" fillId="0" borderId="0" xfId="0" applyAlignment="1">
      <alignment vertical="top" wrapText="1"/>
    </xf>
    <xf numFmtId="0" fontId="28" fillId="0" borderId="3" xfId="0" applyFont="1" applyBorder="1" applyAlignment="1">
      <alignment horizontal="center" vertical="center" wrapText="1"/>
    </xf>
    <xf numFmtId="0" fontId="24" fillId="0" borderId="3" xfId="1" applyFont="1" applyBorder="1" applyAlignment="1">
      <alignment horizontal="center"/>
    </xf>
    <xf numFmtId="0" fontId="24" fillId="0" borderId="47" xfId="1" applyFont="1" applyBorder="1" applyAlignment="1">
      <alignment horizontal="center"/>
    </xf>
    <xf numFmtId="49" fontId="24" fillId="0" borderId="3" xfId="0" applyNumberFormat="1" applyFont="1" applyBorder="1" applyAlignment="1">
      <alignment horizontal="center" vertical="center"/>
    </xf>
    <xf numFmtId="0" fontId="24" fillId="0" borderId="0" xfId="0" applyFont="1"/>
    <xf numFmtId="0" fontId="24" fillId="0" borderId="0" xfId="13" applyFont="1"/>
    <xf numFmtId="0" fontId="28" fillId="8" borderId="3" xfId="0" applyFont="1" applyFill="1" applyBorder="1" applyAlignment="1">
      <alignment horizontal="center" vertical="center" wrapText="1"/>
    </xf>
    <xf numFmtId="168" fontId="24" fillId="8" borderId="3" xfId="1" applyNumberFormat="1" applyFont="1" applyFill="1" applyBorder="1" applyAlignment="1">
      <alignment horizontal="center" vertical="center" wrapText="1"/>
    </xf>
    <xf numFmtId="168" fontId="24" fillId="8" borderId="47" xfId="1" applyNumberFormat="1" applyFont="1" applyFill="1" applyBorder="1" applyAlignment="1">
      <alignment horizontal="center" vertical="center" wrapText="1"/>
    </xf>
    <xf numFmtId="168" fontId="24" fillId="8" borderId="3" xfId="15" applyNumberFormat="1" applyFont="1" applyFill="1" applyBorder="1" applyAlignment="1">
      <alignment horizontal="center" vertical="center"/>
    </xf>
    <xf numFmtId="168" fontId="24" fillId="8" borderId="47" xfId="15" applyNumberFormat="1" applyFont="1" applyFill="1" applyBorder="1" applyAlignment="1">
      <alignment horizontal="center" vertical="center"/>
    </xf>
    <xf numFmtId="0" fontId="28" fillId="9" borderId="0" xfId="0" applyFont="1" applyFill="1" applyAlignment="1">
      <alignment horizontal="center" vertical="center" wrapText="1"/>
    </xf>
    <xf numFmtId="168" fontId="24" fillId="9" borderId="0" xfId="15" applyNumberFormat="1" applyFont="1" applyFill="1" applyBorder="1" applyAlignment="1">
      <alignment horizontal="center" vertical="center"/>
    </xf>
    <xf numFmtId="0" fontId="28" fillId="8" borderId="0" xfId="0" applyFont="1" applyFill="1" applyAlignment="1">
      <alignment horizontal="center" vertical="center" wrapText="1"/>
    </xf>
    <xf numFmtId="43" fontId="3" fillId="12" borderId="47" xfId="8" applyFont="1" applyFill="1" applyBorder="1"/>
    <xf numFmtId="3" fontId="5" fillId="12" borderId="3" xfId="0" applyNumberFormat="1" applyFont="1" applyFill="1" applyBorder="1" applyAlignment="1">
      <alignment vertical="center"/>
    </xf>
    <xf numFmtId="3" fontId="5" fillId="12" borderId="47" xfId="0" applyNumberFormat="1" applyFont="1" applyFill="1" applyBorder="1" applyAlignment="1">
      <alignment vertical="center"/>
    </xf>
    <xf numFmtId="4" fontId="5" fillId="12" borderId="3" xfId="0" applyNumberFormat="1" applyFont="1" applyFill="1" applyBorder="1" applyAlignment="1">
      <alignment vertical="center"/>
    </xf>
    <xf numFmtId="4" fontId="5" fillId="12" borderId="47" xfId="0" applyNumberFormat="1" applyFont="1" applyFill="1" applyBorder="1" applyAlignment="1">
      <alignment vertical="center"/>
    </xf>
    <xf numFmtId="0" fontId="1" fillId="12" borderId="47" xfId="13" applyFont="1" applyFill="1" applyBorder="1"/>
    <xf numFmtId="165" fontId="3" fillId="12" borderId="47" xfId="8" applyNumberFormat="1" applyFont="1" applyFill="1" applyBorder="1"/>
    <xf numFmtId="0" fontId="0" fillId="12" borderId="47" xfId="0" applyFill="1" applyBorder="1"/>
    <xf numFmtId="0" fontId="0" fillId="12" borderId="47" xfId="0" applyFill="1" applyBorder="1" applyAlignment="1">
      <alignment wrapText="1"/>
    </xf>
    <xf numFmtId="43" fontId="0" fillId="12" borderId="47" xfId="8" applyFont="1" applyFill="1" applyBorder="1" applyAlignment="1"/>
    <xf numFmtId="169" fontId="0" fillId="12" borderId="47" xfId="8" applyNumberFormat="1" applyFont="1" applyFill="1" applyBorder="1"/>
    <xf numFmtId="0" fontId="7" fillId="12" borderId="47" xfId="0" applyFont="1" applyFill="1" applyBorder="1" applyAlignment="1">
      <alignment horizontal="center" vertical="center" wrapText="1"/>
    </xf>
    <xf numFmtId="165" fontId="0" fillId="12" borderId="47" xfId="8" applyNumberFormat="1" applyFont="1" applyFill="1" applyBorder="1"/>
    <xf numFmtId="43" fontId="0" fillId="12" borderId="47" xfId="8" applyFont="1" applyFill="1" applyBorder="1"/>
    <xf numFmtId="0" fontId="1" fillId="12" borderId="0" xfId="18" applyFill="1"/>
    <xf numFmtId="43" fontId="1" fillId="12" borderId="0" xfId="8" applyFont="1" applyFill="1"/>
    <xf numFmtId="165" fontId="1" fillId="12" borderId="0" xfId="8" applyNumberFormat="1" applyFont="1" applyFill="1"/>
    <xf numFmtId="165" fontId="1" fillId="12" borderId="47" xfId="8" applyNumberFormat="1" applyFont="1" applyFill="1" applyBorder="1"/>
    <xf numFmtId="165" fontId="0" fillId="12" borderId="0" xfId="8" applyNumberFormat="1" applyFont="1" applyFill="1"/>
    <xf numFmtId="0" fontId="0" fillId="12" borderId="47" xfId="0" applyFill="1" applyBorder="1" applyAlignment="1">
      <alignment horizontal="center" vertical="center"/>
    </xf>
    <xf numFmtId="43" fontId="5" fillId="12" borderId="47" xfId="8" applyFont="1" applyFill="1" applyBorder="1" applyAlignment="1">
      <alignment vertical="center"/>
    </xf>
    <xf numFmtId="165" fontId="5" fillId="12" borderId="47" xfId="8" applyNumberFormat="1" applyFont="1" applyFill="1" applyBorder="1" applyAlignment="1">
      <alignment vertical="center"/>
    </xf>
    <xf numFmtId="0" fontId="1" fillId="12" borderId="47" xfId="18" applyFill="1" applyBorder="1" applyAlignment="1">
      <alignment horizontal="center"/>
    </xf>
    <xf numFmtId="43" fontId="1" fillId="12" borderId="47" xfId="8" applyFont="1" applyFill="1" applyBorder="1"/>
    <xf numFmtId="0" fontId="1" fillId="12" borderId="47" xfId="18" applyFill="1" applyBorder="1"/>
    <xf numFmtId="165" fontId="0" fillId="12" borderId="55" xfId="8" applyNumberFormat="1" applyFont="1" applyFill="1" applyBorder="1"/>
    <xf numFmtId="0" fontId="7" fillId="12" borderId="47" xfId="0" applyFont="1" applyFill="1" applyBorder="1" applyAlignment="1">
      <alignment horizontal="center" vertical="center"/>
    </xf>
    <xf numFmtId="167" fontId="0" fillId="12" borderId="47" xfId="0" applyNumberFormat="1" applyFill="1" applyBorder="1"/>
    <xf numFmtId="43" fontId="0" fillId="12" borderId="3" xfId="8" applyFont="1" applyFill="1" applyBorder="1"/>
    <xf numFmtId="0" fontId="5" fillId="12" borderId="3" xfId="0" applyFont="1" applyFill="1" applyBorder="1" applyAlignment="1">
      <alignment horizontal="center" vertical="center"/>
    </xf>
    <xf numFmtId="43" fontId="5" fillId="12" borderId="3" xfId="8" applyFont="1" applyFill="1" applyBorder="1" applyAlignment="1">
      <alignment vertical="center"/>
    </xf>
    <xf numFmtId="0" fontId="31" fillId="0" borderId="0" xfId="18" applyFont="1"/>
    <xf numFmtId="49" fontId="31" fillId="0" borderId="0" xfId="18" applyNumberFormat="1" applyFont="1" applyAlignment="1">
      <alignment wrapText="1"/>
    </xf>
    <xf numFmtId="165" fontId="5" fillId="12" borderId="47" xfId="8" applyNumberFormat="1" applyFont="1" applyFill="1" applyBorder="1" applyAlignment="1">
      <alignment horizontal="center" vertical="center"/>
    </xf>
    <xf numFmtId="49" fontId="31" fillId="0" borderId="0" xfId="13" applyNumberFormat="1" applyFont="1"/>
    <xf numFmtId="49" fontId="31" fillId="0" borderId="0" xfId="13" applyNumberFormat="1" applyFont="1" applyAlignment="1">
      <alignment wrapText="1"/>
    </xf>
    <xf numFmtId="0" fontId="27" fillId="0" borderId="0" xfId="0" applyFont="1"/>
    <xf numFmtId="166" fontId="0" fillId="12" borderId="3" xfId="0" applyNumberFormat="1" applyFill="1" applyBorder="1" applyAlignment="1">
      <alignment horizontal="center"/>
    </xf>
    <xf numFmtId="0" fontId="1" fillId="12" borderId="47" xfId="13" applyFont="1" applyFill="1" applyBorder="1" applyAlignment="1">
      <alignment horizontal="center" vertical="center"/>
    </xf>
    <xf numFmtId="3" fontId="5" fillId="7" borderId="35" xfId="13" applyNumberFormat="1" applyFont="1" applyFill="1" applyBorder="1" applyAlignment="1">
      <alignment vertical="center"/>
    </xf>
    <xf numFmtId="3" fontId="5" fillId="7" borderId="40" xfId="13" applyNumberFormat="1" applyFont="1" applyFill="1" applyBorder="1" applyAlignment="1">
      <alignment vertical="center"/>
    </xf>
    <xf numFmtId="0" fontId="14" fillId="3" borderId="31" xfId="0" applyFont="1" applyFill="1" applyBorder="1" applyAlignment="1">
      <alignment horizontal="center" vertical="center" wrapText="1"/>
    </xf>
    <xf numFmtId="0" fontId="0" fillId="0" borderId="32" xfId="0" applyBorder="1" applyAlignment="1">
      <alignment horizontal="center" vertical="center" wrapText="1"/>
    </xf>
    <xf numFmtId="3" fontId="14" fillId="4" borderId="24" xfId="0" applyNumberFormat="1" applyFont="1" applyFill="1" applyBorder="1" applyAlignment="1">
      <alignment horizontal="center" vertical="center" wrapText="1"/>
    </xf>
    <xf numFmtId="0" fontId="0" fillId="0" borderId="41" xfId="0" applyBorder="1" applyAlignment="1">
      <alignment horizontal="center" vertical="center" wrapText="1"/>
    </xf>
    <xf numFmtId="0" fontId="15" fillId="7" borderId="39" xfId="11" applyFont="1" applyFill="1" applyBorder="1" applyAlignment="1">
      <alignment horizontal="center" vertical="center"/>
    </xf>
    <xf numFmtId="0" fontId="15" fillId="7" borderId="42" xfId="11" applyFont="1" applyFill="1" applyBorder="1" applyAlignment="1">
      <alignment horizontal="center" vertical="center"/>
    </xf>
    <xf numFmtId="168" fontId="16" fillId="7" borderId="38" xfId="11" applyNumberFormat="1" applyFont="1" applyFill="1" applyBorder="1" applyAlignment="1">
      <alignment horizontal="center" vertical="center"/>
    </xf>
    <xf numFmtId="168" fontId="16" fillId="7" borderId="51" xfId="11" applyNumberFormat="1" applyFont="1" applyFill="1" applyBorder="1" applyAlignment="1">
      <alignment horizontal="center" vertical="center"/>
    </xf>
    <xf numFmtId="3" fontId="16" fillId="7" borderId="24" xfId="11" applyNumberFormat="1" applyFont="1" applyFill="1" applyBorder="1" applyAlignment="1">
      <alignment horizontal="center" vertical="center"/>
    </xf>
    <xf numFmtId="3" fontId="16" fillId="7" borderId="41" xfId="11" applyNumberFormat="1" applyFont="1" applyFill="1" applyBorder="1" applyAlignment="1">
      <alignment horizontal="center" vertical="center"/>
    </xf>
    <xf numFmtId="0" fontId="13" fillId="0" borderId="0" xfId="0" applyFont="1" applyAlignment="1">
      <alignment horizontal="center" vertical="center" wrapText="1"/>
    </xf>
    <xf numFmtId="0" fontId="0" fillId="0" borderId="31" xfId="0" applyBorder="1" applyAlignment="1">
      <alignment horizontal="center" vertical="center" wrapText="1"/>
    </xf>
    <xf numFmtId="0" fontId="0" fillId="0" borderId="24" xfId="0" applyBorder="1" applyAlignment="1">
      <alignment horizontal="center" vertical="center" wrapText="1"/>
    </xf>
    <xf numFmtId="168" fontId="16" fillId="7" borderId="37" xfId="11" applyNumberFormat="1" applyFont="1" applyFill="1" applyBorder="1" applyAlignment="1">
      <alignment horizontal="center" vertical="center"/>
    </xf>
    <xf numFmtId="3" fontId="5" fillId="7" borderId="33" xfId="13" applyNumberFormat="1" applyFont="1" applyFill="1" applyBorder="1" applyAlignment="1">
      <alignment vertical="center"/>
    </xf>
    <xf numFmtId="171" fontId="16" fillId="7" borderId="24" xfId="11" applyNumberFormat="1" applyFont="1" applyFill="1" applyBorder="1" applyAlignment="1">
      <alignment horizontal="center" vertical="center"/>
    </xf>
    <xf numFmtId="0" fontId="14" fillId="2" borderId="1" xfId="0" applyFont="1" applyFill="1" applyBorder="1" applyAlignment="1">
      <alignment horizontal="center" vertical="center" wrapText="1"/>
    </xf>
    <xf numFmtId="0" fontId="14" fillId="2" borderId="7" xfId="0" applyFont="1" applyFill="1" applyBorder="1" applyAlignment="1">
      <alignment horizontal="center" vertical="center" wrapText="1"/>
    </xf>
    <xf numFmtId="0" fontId="14" fillId="2" borderId="15" xfId="0" applyFont="1" applyFill="1" applyBorder="1" applyAlignment="1">
      <alignment horizontal="center" vertical="center" wrapText="1"/>
    </xf>
    <xf numFmtId="0" fontId="15" fillId="7" borderId="36" xfId="11" applyFont="1" applyFill="1" applyBorder="1" applyAlignment="1">
      <alignment horizontal="center" vertical="center"/>
    </xf>
    <xf numFmtId="171" fontId="16" fillId="7" borderId="34" xfId="11" applyNumberFormat="1" applyFont="1" applyFill="1" applyBorder="1" applyAlignment="1">
      <alignment horizontal="center" vertical="center"/>
    </xf>
    <xf numFmtId="0" fontId="14" fillId="2" borderId="16" xfId="0" applyFont="1" applyFill="1" applyBorder="1" applyAlignment="1">
      <alignment horizontal="center" vertical="center" wrapText="1"/>
    </xf>
    <xf numFmtId="0" fontId="14" fillId="2" borderId="17" xfId="0" applyFont="1" applyFill="1" applyBorder="1" applyAlignment="1">
      <alignment horizontal="center" vertical="center" wrapText="1"/>
    </xf>
    <xf numFmtId="0" fontId="0" fillId="0" borderId="17" xfId="0" applyBorder="1" applyAlignment="1">
      <alignment horizontal="center" vertical="center" wrapText="1"/>
    </xf>
    <xf numFmtId="0" fontId="0" fillId="0" borderId="18" xfId="0" applyBorder="1" applyAlignment="1">
      <alignment horizontal="center" vertical="center" wrapText="1"/>
    </xf>
    <xf numFmtId="14" fontId="17" fillId="6" borderId="19" xfId="11" applyNumberFormat="1" applyFont="1" applyFill="1" applyBorder="1" applyAlignment="1">
      <alignment horizontal="center" vertical="center"/>
    </xf>
    <xf numFmtId="0" fontId="0" fillId="0" borderId="25" xfId="0" applyBorder="1" applyAlignment="1">
      <alignment horizontal="center" vertical="center"/>
    </xf>
    <xf numFmtId="167" fontId="14" fillId="4" borderId="24" xfId="0" applyNumberFormat="1" applyFont="1" applyFill="1" applyBorder="1" applyAlignment="1">
      <alignment horizontal="center" vertical="center" wrapText="1"/>
    </xf>
    <xf numFmtId="167" fontId="0" fillId="0" borderId="24" xfId="0" applyNumberFormat="1" applyBorder="1" applyAlignment="1">
      <alignment horizontal="center" vertical="center" wrapText="1"/>
    </xf>
    <xf numFmtId="0" fontId="14" fillId="3" borderId="30" xfId="0" applyFont="1" applyFill="1" applyBorder="1" applyAlignment="1">
      <alignment horizontal="center" vertical="center" wrapText="1"/>
    </xf>
    <xf numFmtId="170" fontId="14" fillId="7" borderId="34" xfId="8" applyNumberFormat="1" applyFont="1" applyFill="1" applyBorder="1" applyAlignment="1">
      <alignment horizontal="center" vertical="center"/>
    </xf>
    <xf numFmtId="170" fontId="0" fillId="7" borderId="24" xfId="8" applyNumberFormat="1" applyFont="1" applyFill="1" applyBorder="1" applyAlignment="1">
      <alignment horizontal="center" vertical="center"/>
    </xf>
    <xf numFmtId="1" fontId="16" fillId="7" borderId="24" xfId="11" applyNumberFormat="1" applyFont="1" applyFill="1" applyBorder="1" applyAlignment="1">
      <alignment horizontal="center" vertical="center"/>
    </xf>
    <xf numFmtId="1" fontId="16" fillId="7" borderId="41" xfId="11" applyNumberFormat="1" applyFont="1" applyFill="1" applyBorder="1" applyAlignment="1">
      <alignment horizontal="center" vertical="center"/>
    </xf>
    <xf numFmtId="0" fontId="14" fillId="2" borderId="18" xfId="0" applyFont="1" applyFill="1" applyBorder="1" applyAlignment="1">
      <alignment horizontal="center" vertical="center" wrapText="1"/>
    </xf>
    <xf numFmtId="167" fontId="16" fillId="7" borderId="34" xfId="11" applyNumberFormat="1" applyFont="1" applyFill="1" applyBorder="1" applyAlignment="1">
      <alignment horizontal="center" vertical="center"/>
    </xf>
    <xf numFmtId="167" fontId="16" fillId="7" borderId="24" xfId="11" applyNumberFormat="1" applyFont="1" applyFill="1" applyBorder="1" applyAlignment="1">
      <alignment horizontal="center" vertical="center"/>
    </xf>
    <xf numFmtId="3" fontId="0" fillId="0" borderId="41" xfId="0" applyNumberFormat="1" applyBorder="1" applyAlignment="1">
      <alignment horizontal="center" vertical="center" wrapText="1"/>
    </xf>
    <xf numFmtId="3" fontId="0" fillId="0" borderId="24" xfId="0" applyNumberFormat="1" applyBorder="1" applyAlignment="1">
      <alignment horizontal="center" vertical="center" wrapText="1"/>
    </xf>
    <xf numFmtId="171" fontId="14" fillId="7" borderId="34" xfId="8" applyNumberFormat="1" applyFont="1" applyFill="1" applyBorder="1" applyAlignment="1">
      <alignment horizontal="center" vertical="center"/>
    </xf>
    <xf numFmtId="171" fontId="0" fillId="7" borderId="24" xfId="8" applyNumberFormat="1" applyFont="1" applyFill="1" applyBorder="1" applyAlignment="1">
      <alignment horizontal="center" vertical="center"/>
    </xf>
    <xf numFmtId="171" fontId="14" fillId="4" borderId="24" xfId="0" applyNumberFormat="1" applyFont="1" applyFill="1" applyBorder="1" applyAlignment="1">
      <alignment horizontal="center" vertical="center" wrapText="1"/>
    </xf>
    <xf numFmtId="171" fontId="0" fillId="0" borderId="24" xfId="0" applyNumberFormat="1" applyBorder="1" applyAlignment="1">
      <alignment horizontal="center" vertical="center" wrapText="1"/>
    </xf>
    <xf numFmtId="168" fontId="16" fillId="7" borderId="43" xfId="11" applyNumberFormat="1" applyFont="1" applyFill="1" applyBorder="1" applyAlignment="1">
      <alignment horizontal="center" vertical="center"/>
    </xf>
    <xf numFmtId="3" fontId="5" fillId="7" borderId="44" xfId="13" applyNumberFormat="1" applyFont="1" applyFill="1" applyBorder="1" applyAlignment="1">
      <alignment vertical="center"/>
    </xf>
    <xf numFmtId="3" fontId="5" fillId="7" borderId="45" xfId="13" applyNumberFormat="1" applyFont="1" applyFill="1" applyBorder="1" applyAlignment="1">
      <alignment vertical="center"/>
    </xf>
    <xf numFmtId="3" fontId="14" fillId="4" borderId="24" xfId="0" applyNumberFormat="1" applyFont="1" applyFill="1" applyBorder="1" applyAlignment="1">
      <alignment horizontal="left" vertical="center" wrapText="1" indent="2"/>
    </xf>
    <xf numFmtId="3" fontId="0" fillId="0" borderId="41" xfId="0" applyNumberFormat="1" applyBorder="1" applyAlignment="1">
      <alignment horizontal="left" vertical="center" wrapText="1" indent="2"/>
    </xf>
    <xf numFmtId="0" fontId="15" fillId="7" borderId="52" xfId="11" applyFont="1" applyFill="1" applyBorder="1" applyAlignment="1">
      <alignment vertical="center"/>
    </xf>
    <xf numFmtId="0" fontId="15" fillId="7" borderId="53" xfId="11" applyFont="1" applyFill="1" applyBorder="1" applyAlignment="1">
      <alignment vertical="center"/>
    </xf>
    <xf numFmtId="3" fontId="5" fillId="7" borderId="35" xfId="18" applyNumberFormat="1" applyFont="1" applyFill="1" applyBorder="1" applyAlignment="1">
      <alignment vertical="center"/>
    </xf>
    <xf numFmtId="3" fontId="5" fillId="7" borderId="40" xfId="18" applyNumberFormat="1" applyFont="1" applyFill="1" applyBorder="1" applyAlignment="1">
      <alignment vertical="center"/>
    </xf>
    <xf numFmtId="3" fontId="5" fillId="7" borderId="33" xfId="18" applyNumberFormat="1" applyFont="1" applyFill="1" applyBorder="1" applyAlignment="1">
      <alignment vertical="center"/>
    </xf>
    <xf numFmtId="0" fontId="0" fillId="0" borderId="12" xfId="0" applyBorder="1" applyAlignment="1">
      <alignment horizontal="center"/>
    </xf>
    <xf numFmtId="0" fontId="0" fillId="0" borderId="13" xfId="0" applyBorder="1" applyAlignment="1">
      <alignment horizontal="center"/>
    </xf>
    <xf numFmtId="0" fontId="0" fillId="0" borderId="14" xfId="0" applyBorder="1" applyAlignment="1">
      <alignment horizontal="center"/>
    </xf>
    <xf numFmtId="0" fontId="0" fillId="10" borderId="12" xfId="0" applyFill="1" applyBorder="1" applyAlignment="1">
      <alignment horizontal="center"/>
    </xf>
    <xf numFmtId="0" fontId="0" fillId="10" borderId="13" xfId="0" applyFill="1" applyBorder="1" applyAlignment="1">
      <alignment horizontal="center"/>
    </xf>
    <xf numFmtId="0" fontId="0" fillId="10" borderId="14" xfId="0" applyFill="1" applyBorder="1" applyAlignment="1">
      <alignment horizontal="center"/>
    </xf>
    <xf numFmtId="0" fontId="4" fillId="0" borderId="0" xfId="13" applyFont="1" applyAlignment="1">
      <alignment horizontal="center" wrapText="1"/>
    </xf>
    <xf numFmtId="0" fontId="7" fillId="0" borderId="0" xfId="0" applyFont="1" applyAlignment="1">
      <alignment horizontal="center"/>
    </xf>
    <xf numFmtId="165" fontId="4" fillId="0" borderId="0" xfId="8" applyNumberFormat="1" applyFont="1" applyBorder="1" applyAlignment="1">
      <alignment horizontal="center" wrapText="1"/>
    </xf>
    <xf numFmtId="165" fontId="7" fillId="0" borderId="0" xfId="8" applyNumberFormat="1" applyFont="1" applyBorder="1" applyAlignment="1">
      <alignment horizontal="center"/>
    </xf>
    <xf numFmtId="0" fontId="7" fillId="0" borderId="5" xfId="0" applyFont="1" applyBorder="1" applyAlignment="1">
      <alignment horizontal="left" vertical="center" wrapText="1"/>
    </xf>
    <xf numFmtId="0" fontId="0" fillId="0" borderId="5" xfId="0" applyBorder="1" applyAlignment="1">
      <alignment horizontal="left"/>
    </xf>
    <xf numFmtId="0" fontId="4" fillId="0" borderId="5" xfId="13" applyFont="1" applyBorder="1" applyAlignment="1">
      <alignment horizontal="center" wrapText="1"/>
    </xf>
    <xf numFmtId="0" fontId="0" fillId="0" borderId="5" xfId="0" applyBorder="1"/>
    <xf numFmtId="0" fontId="0" fillId="0" borderId="0" xfId="0" applyAlignment="1">
      <alignment horizontal="left" vertical="center" wrapText="1"/>
    </xf>
    <xf numFmtId="0" fontId="1" fillId="0" borderId="0" xfId="18" applyAlignment="1">
      <alignment horizontal="center" vertical="center" wrapText="1"/>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cellXfs>
  <cellStyles count="20">
    <cellStyle name="Comma" xfId="8" builtinId="3"/>
    <cellStyle name="Comma 2" xfId="2" xr:uid="{00000000-0005-0000-0000-000001000000}"/>
    <cellStyle name="Comma 3" xfId="12" xr:uid="{00000000-0005-0000-0000-000002000000}"/>
    <cellStyle name="Comma 4" xfId="14" xr:uid="{00000000-0005-0000-0000-000003000000}"/>
    <cellStyle name="Comma 4 2" xfId="19" xr:uid="{00000000-0005-0000-0000-000004000000}"/>
    <cellStyle name="Comma 6 2" xfId="6" xr:uid="{00000000-0005-0000-0000-000005000000}"/>
    <cellStyle name="Comma 8" xfId="7" xr:uid="{00000000-0005-0000-0000-000006000000}"/>
    <cellStyle name="Followed Hyperlink" xfId="17" builtinId="9" hidden="1"/>
    <cellStyle name="Hyperlink" xfId="16" builtinId="8" hidden="1"/>
    <cellStyle name="Neutral 2" xfId="10" xr:uid="{00000000-0005-0000-0000-000009000000}"/>
    <cellStyle name="Normal" xfId="0" builtinId="0"/>
    <cellStyle name="Normal 2" xfId="1" xr:uid="{00000000-0005-0000-0000-00000B000000}"/>
    <cellStyle name="Normal 2 2" xfId="4" xr:uid="{00000000-0005-0000-0000-00000C000000}"/>
    <cellStyle name="Normal 3" xfId="9" xr:uid="{00000000-0005-0000-0000-00000D000000}"/>
    <cellStyle name="Normal 3 2" xfId="11" xr:uid="{00000000-0005-0000-0000-00000E000000}"/>
    <cellStyle name="Normal 4" xfId="3" xr:uid="{00000000-0005-0000-0000-00000F000000}"/>
    <cellStyle name="Normal 5" xfId="13" xr:uid="{00000000-0005-0000-0000-000010000000}"/>
    <cellStyle name="Normal 5 2" xfId="18" xr:uid="{00000000-0005-0000-0000-000011000000}"/>
    <cellStyle name="Percent" xfId="15" builtinId="5"/>
    <cellStyle name="Percent 2" xfId="5" xr:uid="{00000000-0005-0000-0000-000013000000}"/>
  </cellStyles>
  <dxfs count="0"/>
  <tableStyles count="0" defaultTableStyle="TableStyleMedium2" defaultPivotStyle="PivotStyleLight16"/>
  <colors>
    <mruColors>
      <color rgb="FFB59DF7"/>
      <color rgb="FFFFCC00"/>
      <color rgb="FFFFCC66"/>
      <color rgb="FFFFF3CD"/>
      <color rgb="FFF2F0DA"/>
      <color rgb="FFFFCC99"/>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14.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6.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8.xml.rels><?xml version="1.0" encoding="UTF-8" standalone="yes"?>
<Relationships xmlns="http://schemas.openxmlformats.org/package/2006/relationships"><Relationship Id="rId1" Type="http://schemas.openxmlformats.org/officeDocument/2006/relationships/chartUserShapes" Target="../drawings/drawing14.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0.xml.rels><?xml version="1.0" encoding="UTF-8" standalone="yes"?>
<Relationships xmlns="http://schemas.openxmlformats.org/package/2006/relationships"><Relationship Id="rId1" Type="http://schemas.openxmlformats.org/officeDocument/2006/relationships/chartUserShapes" Target="../drawings/drawing15.xml"/></Relationships>
</file>

<file path=xl/charts/_rels/chart22.xml.rels><?xml version="1.0" encoding="UTF-8" standalone="yes"?>
<Relationships xmlns="http://schemas.openxmlformats.org/package/2006/relationships"><Relationship Id="rId1" Type="http://schemas.openxmlformats.org/officeDocument/2006/relationships/chartUserShapes" Target="../drawings/drawing17.xml"/></Relationships>
</file>

<file path=xl/charts/_rels/chart24.xml.rels><?xml version="1.0" encoding="UTF-8" standalone="yes"?>
<Relationships xmlns="http://schemas.openxmlformats.org/package/2006/relationships"><Relationship Id="rId1" Type="http://schemas.openxmlformats.org/officeDocument/2006/relationships/chartUserShapes" Target="../drawings/drawing18.xml"/></Relationships>
</file>

<file path=xl/charts/_rels/chart26.xml.rels><?xml version="1.0" encoding="UTF-8" standalone="yes"?>
<Relationships xmlns="http://schemas.openxmlformats.org/package/2006/relationships"><Relationship Id="rId1" Type="http://schemas.openxmlformats.org/officeDocument/2006/relationships/chartUserShapes" Target="../drawings/drawing20.xml"/></Relationships>
</file>

<file path=xl/charts/_rels/chart28.xml.rels><?xml version="1.0" encoding="UTF-8" standalone="yes"?>
<Relationships xmlns="http://schemas.openxmlformats.org/package/2006/relationships"><Relationship Id="rId1" Type="http://schemas.openxmlformats.org/officeDocument/2006/relationships/chartUserShapes" Target="../drawings/drawing21.xml"/></Relationships>
</file>

<file path=xl/charts/_rels/chart30.xml.rels><?xml version="1.0" encoding="UTF-8" standalone="yes"?>
<Relationships xmlns="http://schemas.openxmlformats.org/package/2006/relationships"><Relationship Id="rId1" Type="http://schemas.openxmlformats.org/officeDocument/2006/relationships/chartUserShapes" Target="../drawings/drawing23.xml"/></Relationships>
</file>

<file path=xl/charts/_rels/chart32.xml.rels><?xml version="1.0" encoding="UTF-8" standalone="yes"?>
<Relationships xmlns="http://schemas.openxmlformats.org/package/2006/relationships"><Relationship Id="rId1" Type="http://schemas.openxmlformats.org/officeDocument/2006/relationships/chartUserShapes" Target="../drawings/drawing24.xml"/></Relationships>
</file>

<file path=xl/charts/_rels/chart34.xml.rels><?xml version="1.0" encoding="UTF-8" standalone="yes"?>
<Relationships xmlns="http://schemas.openxmlformats.org/package/2006/relationships"><Relationship Id="rId1" Type="http://schemas.openxmlformats.org/officeDocument/2006/relationships/chartUserShapes" Target="../drawings/drawing26.xml"/></Relationships>
</file>

<file path=xl/charts/_rels/chart36.xml.rels><?xml version="1.0" encoding="UTF-8" standalone="yes"?>
<Relationships xmlns="http://schemas.openxmlformats.org/package/2006/relationships"><Relationship Id="rId1" Type="http://schemas.openxmlformats.org/officeDocument/2006/relationships/chartUserShapes" Target="../drawings/drawing27.xml"/></Relationships>
</file>

<file path=xl/charts/_rels/chart37.xml.rels><?xml version="1.0" encoding="UTF-8" standalone="yes"?>
<Relationships xmlns="http://schemas.openxmlformats.org/package/2006/relationships"><Relationship Id="rId1" Type="http://schemas.openxmlformats.org/officeDocument/2006/relationships/chartUserShapes" Target="../drawings/drawing29.xml"/></Relationships>
</file>

<file path=xl/charts/_rels/chart38.xml.rels><?xml version="1.0" encoding="UTF-8" standalone="yes"?>
<Relationships xmlns="http://schemas.openxmlformats.org/package/2006/relationships"><Relationship Id="rId1" Type="http://schemas.openxmlformats.org/officeDocument/2006/relationships/chartUserShapes" Target="../drawings/drawing30.xml"/></Relationships>
</file>

<file path=xl/charts/_rels/chart4.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1.xml"/><Relationship Id="rId1" Type="http://schemas.microsoft.com/office/2011/relationships/chartStyle" Target="style1.xml"/></Relationships>
</file>

<file path=xl/charts/_rels/chart40.xml.rels><?xml version="1.0" encoding="UTF-8" standalone="yes"?>
<Relationships xmlns="http://schemas.openxmlformats.org/package/2006/relationships"><Relationship Id="rId1" Type="http://schemas.openxmlformats.org/officeDocument/2006/relationships/chartUserShapes" Target="../drawings/drawing31.xml"/></Relationships>
</file>

<file path=xl/charts/_rels/chart42.xml.rels><?xml version="1.0" encoding="UTF-8" standalone="yes"?>
<Relationships xmlns="http://schemas.openxmlformats.org/package/2006/relationships"><Relationship Id="rId1" Type="http://schemas.openxmlformats.org/officeDocument/2006/relationships/chartUserShapes" Target="../drawings/drawing33.xml"/></Relationships>
</file>

<file path=xl/charts/_rels/chart44.xml.rels><?xml version="1.0" encoding="UTF-8" standalone="yes"?>
<Relationships xmlns="http://schemas.openxmlformats.org/package/2006/relationships"><Relationship Id="rId1" Type="http://schemas.openxmlformats.org/officeDocument/2006/relationships/chartUserShapes" Target="../drawings/drawing34.xml"/></Relationships>
</file>

<file path=xl/charts/_rels/chart46.xml.rels><?xml version="1.0" encoding="UTF-8" standalone="yes"?>
<Relationships xmlns="http://schemas.openxmlformats.org/package/2006/relationships"><Relationship Id="rId1" Type="http://schemas.openxmlformats.org/officeDocument/2006/relationships/chartUserShapes" Target="../drawings/drawing36.xml"/></Relationships>
</file>

<file path=xl/charts/_rels/chart48.xml.rels><?xml version="1.0" encoding="UTF-8" standalone="yes"?>
<Relationships xmlns="http://schemas.openxmlformats.org/package/2006/relationships"><Relationship Id="rId1" Type="http://schemas.openxmlformats.org/officeDocument/2006/relationships/chartUserShapes" Target="../drawings/drawing37.xml"/></Relationships>
</file>

<file path=xl/charts/_rels/chart49.xml.rels><?xml version="1.0" encoding="UTF-8" standalone="yes"?>
<Relationships xmlns="http://schemas.openxmlformats.org/package/2006/relationships"><Relationship Id="rId1" Type="http://schemas.openxmlformats.org/officeDocument/2006/relationships/chartUserShapes" Target="../drawings/drawing39.xml"/></Relationships>
</file>

<file path=xl/charts/_rels/chart50.xml.rels><?xml version="1.0" encoding="UTF-8" standalone="yes"?>
<Relationships xmlns="http://schemas.openxmlformats.org/package/2006/relationships"><Relationship Id="rId1" Type="http://schemas.openxmlformats.org/officeDocument/2006/relationships/chartUserShapes" Target="../drawings/drawing40.xml"/></Relationships>
</file>

<file path=xl/charts/_rels/chart52.xml.rels><?xml version="1.0" encoding="UTF-8" standalone="yes"?>
<Relationships xmlns="http://schemas.openxmlformats.org/package/2006/relationships"><Relationship Id="rId3" Type="http://schemas.openxmlformats.org/officeDocument/2006/relationships/chartUserShapes" Target="../drawings/drawing41.xml"/><Relationship Id="rId2" Type="http://schemas.microsoft.com/office/2011/relationships/chartColorStyle" Target="colors3.xml"/><Relationship Id="rId1" Type="http://schemas.microsoft.com/office/2011/relationships/chartStyle" Target="style3.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8.xml.rels><?xml version="1.0" encoding="UTF-8" standalone="yes"?>
<Relationships xmlns="http://schemas.openxmlformats.org/package/2006/relationships"><Relationship Id="rId3" Type="http://schemas.openxmlformats.org/officeDocument/2006/relationships/chartUserShapes" Target="../drawings/drawing6.xml"/><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a:latin typeface="+mn-lt"/>
                <a:cs typeface="Arial" panose="020B0604020202020204" pitchFamily="34" charset="0"/>
              </a:defRPr>
            </a:pPr>
            <a:r>
              <a:rPr lang="en-US"/>
              <a:t>ASDC Multi-Year Total Archive Volume Trend</a:t>
            </a:r>
          </a:p>
        </c:rich>
      </c:tx>
      <c:layout>
        <c:manualLayout>
          <c:xMode val="edge"/>
          <c:yMode val="edge"/>
          <c:x val="0.24570670526573293"/>
          <c:y val="3.8412164179891017E-2"/>
        </c:manualLayout>
      </c:layout>
      <c:overlay val="0"/>
    </c:title>
    <c:autoTitleDeleted val="0"/>
    <c:plotArea>
      <c:layout>
        <c:manualLayout>
          <c:layoutTarget val="inner"/>
          <c:xMode val="edge"/>
          <c:yMode val="edge"/>
          <c:x val="0.156188786714438"/>
          <c:y val="0.18228668594254499"/>
          <c:w val="0.80487043883359"/>
          <c:h val="0.65076746334831104"/>
        </c:manualLayout>
      </c:layout>
      <c:barChart>
        <c:barDir val="col"/>
        <c:grouping val="clustered"/>
        <c:varyColors val="0"/>
        <c:ser>
          <c:idx val="0"/>
          <c:order val="0"/>
          <c:tx>
            <c:strRef>
              <c:f>data!$B$156</c:f>
              <c:strCache>
                <c:ptCount val="1"/>
                <c:pt idx="0">
                  <c:v>ASDC</c:v>
                </c:pt>
              </c:strCache>
            </c:strRef>
          </c:tx>
          <c:spPr>
            <a:solidFill>
              <a:schemeClr val="accent2">
                <a:lumMod val="75000"/>
              </a:schemeClr>
            </a:solidFill>
          </c:spPr>
          <c:invertIfNegative val="0"/>
          <c:cat>
            <c:strRef>
              <c:f>data!$A$157:$A$174</c:f>
              <c:strCache>
                <c:ptCount val="18"/>
                <c:pt idx="0">
                  <c:v>FY08</c:v>
                </c:pt>
                <c:pt idx="1">
                  <c:v>FY09</c:v>
                </c:pt>
                <c:pt idx="2">
                  <c:v>FY10</c:v>
                </c:pt>
                <c:pt idx="3">
                  <c:v>FY11</c:v>
                </c:pt>
                <c:pt idx="4">
                  <c:v>FY12</c:v>
                </c:pt>
                <c:pt idx="5">
                  <c:v>FY13</c:v>
                </c:pt>
                <c:pt idx="6">
                  <c:v>FY14</c:v>
                </c:pt>
                <c:pt idx="7">
                  <c:v>FY15</c:v>
                </c:pt>
                <c:pt idx="8">
                  <c:v>FY16</c:v>
                </c:pt>
                <c:pt idx="9">
                  <c:v>FY17</c:v>
                </c:pt>
                <c:pt idx="10">
                  <c:v>FY18</c:v>
                </c:pt>
                <c:pt idx="11">
                  <c:v>FY19</c:v>
                </c:pt>
                <c:pt idx="12">
                  <c:v>FY20</c:v>
                </c:pt>
                <c:pt idx="13">
                  <c:v>FY21</c:v>
                </c:pt>
                <c:pt idx="14">
                  <c:v>FY22</c:v>
                </c:pt>
                <c:pt idx="15">
                  <c:v>FY23</c:v>
                </c:pt>
                <c:pt idx="16">
                  <c:v>FY24</c:v>
                </c:pt>
                <c:pt idx="17">
                  <c:v>FY25</c:v>
                </c:pt>
              </c:strCache>
            </c:strRef>
          </c:cat>
          <c:val>
            <c:numRef>
              <c:f>data!$B$157:$B$174</c:f>
              <c:numCache>
                <c:formatCode>_(* #,##0.00_);_(* \(#,##0.00\);_(* "-"??_);_(@_)</c:formatCode>
                <c:ptCount val="18"/>
                <c:pt idx="0">
                  <c:v>1828.7103789062501</c:v>
                </c:pt>
                <c:pt idx="1">
                  <c:v>2359.018</c:v>
                </c:pt>
                <c:pt idx="2">
                  <c:v>2082.8297632890626</c:v>
                </c:pt>
                <c:pt idx="3">
                  <c:v>1780.1082324218751</c:v>
                </c:pt>
                <c:pt idx="4">
                  <c:v>2167.0134765624998</c:v>
                </c:pt>
                <c:pt idx="5">
                  <c:v>2806.56</c:v>
                </c:pt>
                <c:pt idx="6">
                  <c:v>3268.5614688254918</c:v>
                </c:pt>
                <c:pt idx="7">
                  <c:v>3475</c:v>
                </c:pt>
                <c:pt idx="8">
                  <c:v>4159.7939453125</c:v>
                </c:pt>
                <c:pt idx="9">
                  <c:v>4179.5</c:v>
                </c:pt>
                <c:pt idx="10">
                  <c:v>5008.96</c:v>
                </c:pt>
                <c:pt idx="11">
                  <c:v>5554.9</c:v>
                </c:pt>
                <c:pt idx="12">
                  <c:v>5691.55</c:v>
                </c:pt>
                <c:pt idx="13">
                  <c:v>6517.67</c:v>
                </c:pt>
                <c:pt idx="14">
                  <c:v>7064.0329882812503</c:v>
                </c:pt>
                <c:pt idx="15">
                  <c:v>7605.0923469815816</c:v>
                </c:pt>
                <c:pt idx="16">
                  <c:v>8582.9765136718743</c:v>
                </c:pt>
                <c:pt idx="17">
                  <c:v>11572.795703125001</c:v>
                </c:pt>
              </c:numCache>
            </c:numRef>
          </c:val>
          <c:extLst>
            <c:ext xmlns:c16="http://schemas.microsoft.com/office/drawing/2014/chart" uri="{C3380CC4-5D6E-409C-BE32-E72D297353CC}">
              <c16:uniqueId val="{00000000-1DC9-1B46-B46A-C5F0D592FBFE}"/>
            </c:ext>
          </c:extLst>
        </c:ser>
        <c:dLbls>
          <c:showLegendKey val="0"/>
          <c:showVal val="0"/>
          <c:showCatName val="0"/>
          <c:showSerName val="0"/>
          <c:showPercent val="0"/>
          <c:showBubbleSize val="0"/>
        </c:dLbls>
        <c:gapWidth val="150"/>
        <c:axId val="361717376"/>
        <c:axId val="361725536"/>
      </c:barChart>
      <c:catAx>
        <c:axId val="361717376"/>
        <c:scaling>
          <c:orientation val="minMax"/>
        </c:scaling>
        <c:delete val="0"/>
        <c:axPos val="b"/>
        <c:title>
          <c:tx>
            <c:rich>
              <a:bodyPr/>
              <a:lstStyle/>
              <a:p>
                <a:pPr>
                  <a:defRPr sz="1200"/>
                </a:pPr>
                <a:r>
                  <a:rPr lang="en-US" sz="1200"/>
                  <a:t>Fiscal Year</a:t>
                </a:r>
              </a:p>
            </c:rich>
          </c:tx>
          <c:layout>
            <c:manualLayout>
              <c:xMode val="edge"/>
              <c:yMode val="edge"/>
              <c:x val="0.49999567596515698"/>
              <c:y val="0.91411120752953801"/>
            </c:manualLayout>
          </c:layout>
          <c:overlay val="0"/>
        </c:title>
        <c:numFmt formatCode="General" sourceLinked="0"/>
        <c:majorTickMark val="out"/>
        <c:minorTickMark val="none"/>
        <c:tickLblPos val="nextTo"/>
        <c:txPr>
          <a:bodyPr/>
          <a:lstStyle/>
          <a:p>
            <a:pPr>
              <a:defRPr sz="1200" b="0" baseline="0">
                <a:latin typeface="+mn-lt"/>
                <a:cs typeface="Arial" panose="020B0604020202020204" pitchFamily="34" charset="0"/>
              </a:defRPr>
            </a:pPr>
            <a:endParaRPr lang="en-US"/>
          </a:p>
        </c:txPr>
        <c:crossAx val="361725536"/>
        <c:crosses val="autoZero"/>
        <c:auto val="1"/>
        <c:lblAlgn val="ctr"/>
        <c:lblOffset val="100"/>
        <c:noMultiLvlLbl val="0"/>
      </c:catAx>
      <c:valAx>
        <c:axId val="361725536"/>
        <c:scaling>
          <c:orientation val="minMax"/>
        </c:scaling>
        <c:delete val="0"/>
        <c:axPos val="l"/>
        <c:majorGridlines/>
        <c:title>
          <c:tx>
            <c:rich>
              <a:bodyPr/>
              <a:lstStyle/>
              <a:p>
                <a:pPr>
                  <a:defRPr sz="1200"/>
                </a:pPr>
                <a:r>
                  <a:rPr lang="en-US" sz="1200"/>
                  <a:t>Volume (TB)</a:t>
                </a:r>
              </a:p>
            </c:rich>
          </c:tx>
          <c:layout>
            <c:manualLayout>
              <c:xMode val="edge"/>
              <c:yMode val="edge"/>
              <c:x val="1.62849872773537E-2"/>
              <c:y val="0.34790157257870402"/>
            </c:manualLayout>
          </c:layout>
          <c:overlay val="0"/>
        </c:title>
        <c:numFmt formatCode="#,##0" sourceLinked="0"/>
        <c:majorTickMark val="out"/>
        <c:minorTickMark val="none"/>
        <c:tickLblPos val="nextTo"/>
        <c:spPr>
          <a:ln>
            <a:solidFill>
              <a:schemeClr val="bg1">
                <a:lumMod val="50000"/>
              </a:schemeClr>
            </a:solidFill>
          </a:ln>
        </c:spPr>
        <c:txPr>
          <a:bodyPr/>
          <a:lstStyle/>
          <a:p>
            <a:pPr>
              <a:defRPr sz="1200">
                <a:latin typeface="+mn-lt"/>
                <a:cs typeface="Arial" panose="020B0604020202020204" pitchFamily="34" charset="0"/>
              </a:defRPr>
            </a:pPr>
            <a:endParaRPr lang="en-US"/>
          </a:p>
        </c:txPr>
        <c:crossAx val="361717376"/>
        <c:crosses val="autoZero"/>
        <c:crossBetween val="between"/>
      </c:valAx>
      <c:spPr>
        <a:ln>
          <a:solidFill>
            <a:schemeClr val="bg1">
              <a:lumMod val="50000"/>
            </a:schemeClr>
          </a:solidFill>
          <a:prstDash val="solid"/>
        </a:ln>
      </c:spPr>
    </c:plotArea>
    <c:plotVisOnly val="1"/>
    <c:dispBlanksAs val="gap"/>
    <c:showDLblsOverMax val="0"/>
  </c:chart>
  <c:printSettings>
    <c:headerFooter/>
    <c:pageMargins b="0.750000000000004" l="0.70000000000000095" r="0.70000000000000095" t="0.750000000000004"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8982927746641"/>
          <c:y val="0.14901950216041901"/>
          <c:w val="0.85018015139071501"/>
          <c:h val="0.68891197860574704"/>
        </c:manualLayout>
      </c:layout>
      <c:lineChart>
        <c:grouping val="standard"/>
        <c:varyColors val="0"/>
        <c:ser>
          <c:idx val="0"/>
          <c:order val="0"/>
          <c:tx>
            <c:strRef>
              <c:f>data!$D$176</c:f>
              <c:strCache>
                <c:ptCount val="1"/>
                <c:pt idx="0">
                  <c:v>CDDIS</c:v>
                </c:pt>
              </c:strCache>
            </c:strRef>
          </c:tx>
          <c:marker>
            <c:symbol val="none"/>
          </c:marker>
          <c:cat>
            <c:strRef>
              <c:f>data!$A$177:$A$191</c:f>
              <c:strCache>
                <c:ptCount val="15"/>
                <c:pt idx="0">
                  <c:v>FY08</c:v>
                </c:pt>
                <c:pt idx="1">
                  <c:v>FY09</c:v>
                </c:pt>
                <c:pt idx="2">
                  <c:v>FY10</c:v>
                </c:pt>
                <c:pt idx="3">
                  <c:v>FY11</c:v>
                </c:pt>
                <c:pt idx="4">
                  <c:v>FY12</c:v>
                </c:pt>
                <c:pt idx="5">
                  <c:v>FY13</c:v>
                </c:pt>
                <c:pt idx="6">
                  <c:v>FY14</c:v>
                </c:pt>
                <c:pt idx="7">
                  <c:v>FY15</c:v>
                </c:pt>
                <c:pt idx="8">
                  <c:v>FY16</c:v>
                </c:pt>
                <c:pt idx="9">
                  <c:v>FY17</c:v>
                </c:pt>
                <c:pt idx="10">
                  <c:v>FY18</c:v>
                </c:pt>
                <c:pt idx="11">
                  <c:v>FY19</c:v>
                </c:pt>
                <c:pt idx="12">
                  <c:v>FY20</c:v>
                </c:pt>
                <c:pt idx="13">
                  <c:v>FY21</c:v>
                </c:pt>
                <c:pt idx="14">
                  <c:v>FY22</c:v>
                </c:pt>
              </c:strCache>
            </c:strRef>
          </c:cat>
          <c:val>
            <c:numRef>
              <c:f>data!$D$177:$D$191</c:f>
              <c:numCache>
                <c:formatCode>0.0%</c:formatCode>
                <c:ptCount val="15"/>
                <c:pt idx="1">
                  <c:v>0.44433094994892747</c:v>
                </c:pt>
                <c:pt idx="2">
                  <c:v>0.4325581395348837</c:v>
                </c:pt>
                <c:pt idx="3">
                  <c:v>0.46153846153846156</c:v>
                </c:pt>
                <c:pt idx="4">
                  <c:v>0.45710095331214862</c:v>
                </c:pt>
                <c:pt idx="5">
                  <c:v>0.5045189797148022</c:v>
                </c:pt>
                <c:pt idx="6">
                  <c:v>0.46902654867256638</c:v>
                </c:pt>
                <c:pt idx="7">
                  <c:v>0.43352601156069365</c:v>
                </c:pt>
                <c:pt idx="8">
                  <c:v>0.43611111111111112</c:v>
                </c:pt>
                <c:pt idx="9">
                  <c:v>0.42523162178543594</c:v>
                </c:pt>
                <c:pt idx="10">
                  <c:v>0.43991263713937423</c:v>
                </c:pt>
                <c:pt idx="11">
                  <c:v>0.40542324923367129</c:v>
                </c:pt>
              </c:numCache>
            </c:numRef>
          </c:val>
          <c:smooth val="0"/>
          <c:extLst>
            <c:ext xmlns:c16="http://schemas.microsoft.com/office/drawing/2014/chart" uri="{C3380CC4-5D6E-409C-BE32-E72D297353CC}">
              <c16:uniqueId val="{00000000-6D29-9542-AB11-E2E9AC686EC3}"/>
            </c:ext>
          </c:extLst>
        </c:ser>
        <c:dLbls>
          <c:showLegendKey val="0"/>
          <c:showVal val="0"/>
          <c:showCatName val="0"/>
          <c:showSerName val="0"/>
          <c:showPercent val="0"/>
          <c:showBubbleSize val="0"/>
        </c:dLbls>
        <c:smooth val="0"/>
        <c:axId val="411529744"/>
        <c:axId val="411530832"/>
      </c:lineChart>
      <c:catAx>
        <c:axId val="411529744"/>
        <c:scaling>
          <c:orientation val="minMax"/>
        </c:scaling>
        <c:delete val="0"/>
        <c:axPos val="b"/>
        <c:title>
          <c:tx>
            <c:rich>
              <a:bodyPr/>
              <a:lstStyle/>
              <a:p>
                <a:pPr>
                  <a:defRPr sz="1200"/>
                </a:pPr>
                <a:r>
                  <a:rPr lang="en-US" sz="1200"/>
                  <a:t>Fiscal Year</a:t>
                </a:r>
              </a:p>
            </c:rich>
          </c:tx>
          <c:layout>
            <c:manualLayout>
              <c:xMode val="edge"/>
              <c:yMode val="edge"/>
              <c:x val="0.48422756091902203"/>
              <c:y val="0.91945592070692705"/>
            </c:manualLayout>
          </c:layout>
          <c:overlay val="0"/>
        </c:title>
        <c:numFmt formatCode="General" sourceLinked="0"/>
        <c:majorTickMark val="out"/>
        <c:minorTickMark val="none"/>
        <c:tickLblPos val="nextTo"/>
        <c:txPr>
          <a:bodyPr/>
          <a:lstStyle/>
          <a:p>
            <a:pPr>
              <a:defRPr sz="1200" b="0" baseline="0">
                <a:latin typeface="+mn-lt"/>
                <a:cs typeface="Arial" panose="020B0604020202020204" pitchFamily="34" charset="0"/>
              </a:defRPr>
            </a:pPr>
            <a:endParaRPr lang="en-US"/>
          </a:p>
        </c:txPr>
        <c:crossAx val="411530832"/>
        <c:crosses val="autoZero"/>
        <c:auto val="1"/>
        <c:lblAlgn val="ctr"/>
        <c:lblOffset val="100"/>
        <c:noMultiLvlLbl val="0"/>
      </c:catAx>
      <c:valAx>
        <c:axId val="411530832"/>
        <c:scaling>
          <c:orientation val="minMax"/>
        </c:scaling>
        <c:delete val="0"/>
        <c:axPos val="l"/>
        <c:majorGridlines/>
        <c:title>
          <c:tx>
            <c:rich>
              <a:bodyPr/>
              <a:lstStyle/>
              <a:p>
                <a:pPr>
                  <a:defRPr sz="1200"/>
                </a:pPr>
                <a:r>
                  <a:rPr lang="en-US" sz="1200"/>
                  <a:t>Percentage</a:t>
                </a:r>
              </a:p>
            </c:rich>
          </c:tx>
          <c:layout>
            <c:manualLayout>
              <c:xMode val="edge"/>
              <c:yMode val="edge"/>
              <c:x val="4.8473441747445998E-3"/>
              <c:y val="0.36539536980201598"/>
            </c:manualLayout>
          </c:layout>
          <c:overlay val="0"/>
        </c:title>
        <c:numFmt formatCode="0%" sourceLinked="0"/>
        <c:majorTickMark val="out"/>
        <c:minorTickMark val="none"/>
        <c:tickLblPos val="nextTo"/>
        <c:txPr>
          <a:bodyPr/>
          <a:lstStyle/>
          <a:p>
            <a:pPr>
              <a:defRPr sz="1200">
                <a:solidFill>
                  <a:sysClr val="windowText" lastClr="000000"/>
                </a:solidFill>
                <a:latin typeface="+mn-lt"/>
                <a:cs typeface="Arial" panose="020B0604020202020204" pitchFamily="34" charset="0"/>
              </a:defRPr>
            </a:pPr>
            <a:endParaRPr lang="en-US"/>
          </a:p>
        </c:txPr>
        <c:crossAx val="411529744"/>
        <c:crosses val="autoZero"/>
        <c:crossBetween val="between"/>
      </c:valAx>
      <c:spPr>
        <a:ln>
          <a:solidFill>
            <a:schemeClr val="bg1">
              <a:lumMod val="50000"/>
            </a:schemeClr>
          </a:solidFill>
          <a:prstDash val="solid"/>
        </a:ln>
      </c:spPr>
    </c:plotArea>
    <c:plotVisOnly val="1"/>
    <c:dispBlanksAs val="gap"/>
    <c:showDLblsOverMax val="0"/>
  </c:chart>
  <c:printSettings>
    <c:headerFooter/>
    <c:pageMargins b="0.750000000000004" l="0.70000000000000095" r="0.70000000000000095" t="0.750000000000004" header="0.3" footer="0.3"/>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a:latin typeface="+mn-lt"/>
                <a:cs typeface="Arial" panose="020B0604020202020204" pitchFamily="34" charset="0"/>
              </a:defRPr>
            </a:pPr>
            <a:r>
              <a:rPr lang="en-US"/>
              <a:t>CDDIS Multi-Year Product Distribution Trend</a:t>
            </a:r>
          </a:p>
        </c:rich>
      </c:tx>
      <c:layout>
        <c:manualLayout>
          <c:xMode val="edge"/>
          <c:yMode val="edge"/>
          <c:x val="0.219374642226661"/>
          <c:y val="4.2874122560153598E-2"/>
        </c:manualLayout>
      </c:layout>
      <c:overlay val="0"/>
    </c:title>
    <c:autoTitleDeleted val="0"/>
    <c:plotArea>
      <c:layout>
        <c:manualLayout>
          <c:layoutTarget val="inner"/>
          <c:xMode val="edge"/>
          <c:yMode val="edge"/>
          <c:x val="0.113107657173634"/>
          <c:y val="0.18225294239347301"/>
          <c:w val="0.85726272307204099"/>
          <c:h val="0.65529307668611403"/>
        </c:manualLayout>
      </c:layout>
      <c:barChart>
        <c:barDir val="col"/>
        <c:grouping val="clustered"/>
        <c:varyColors val="0"/>
        <c:ser>
          <c:idx val="0"/>
          <c:order val="0"/>
          <c:tx>
            <c:strRef>
              <c:f>Summary_data!$F$21</c:f>
              <c:strCache>
                <c:ptCount val="1"/>
                <c:pt idx="0">
                  <c:v>CDDIS</c:v>
                </c:pt>
              </c:strCache>
            </c:strRef>
          </c:tx>
          <c:invertIfNegative val="0"/>
          <c:cat>
            <c:strRef>
              <c:f>Summary_data!$C$22:$C$40</c:f>
              <c:strCache>
                <c:ptCount val="19"/>
                <c:pt idx="0">
                  <c:v>FY07</c:v>
                </c:pt>
                <c:pt idx="1">
                  <c:v>FY08</c:v>
                </c:pt>
                <c:pt idx="2">
                  <c:v>FY09</c:v>
                </c:pt>
                <c:pt idx="3">
                  <c:v>FY10</c:v>
                </c:pt>
                <c:pt idx="4">
                  <c:v>FY11</c:v>
                </c:pt>
                <c:pt idx="5">
                  <c:v>FY12</c:v>
                </c:pt>
                <c:pt idx="6">
                  <c:v>FY13</c:v>
                </c:pt>
                <c:pt idx="7">
                  <c:v>FY14</c:v>
                </c:pt>
                <c:pt idx="8">
                  <c:v>FY15</c:v>
                </c:pt>
                <c:pt idx="9">
                  <c:v>FY16</c:v>
                </c:pt>
                <c:pt idx="10">
                  <c:v>FY17</c:v>
                </c:pt>
                <c:pt idx="11">
                  <c:v>FY18</c:v>
                </c:pt>
                <c:pt idx="12">
                  <c:v>FY19</c:v>
                </c:pt>
                <c:pt idx="13">
                  <c:v>FY20</c:v>
                </c:pt>
                <c:pt idx="14">
                  <c:v>FY21</c:v>
                </c:pt>
                <c:pt idx="15">
                  <c:v>FY22</c:v>
                </c:pt>
                <c:pt idx="16">
                  <c:v>FY23</c:v>
                </c:pt>
                <c:pt idx="17">
                  <c:v>FY24</c:v>
                </c:pt>
                <c:pt idx="18">
                  <c:v>FY25</c:v>
                </c:pt>
              </c:strCache>
            </c:strRef>
          </c:cat>
          <c:val>
            <c:numRef>
              <c:f>Summary_data!$F$22:$F$40</c:f>
              <c:numCache>
                <c:formatCode>_(* #,##0.0_);_(* \(#,##0.0\);_(* "-"??_);_(@_)</c:formatCode>
                <c:ptCount val="19"/>
                <c:pt idx="0">
                  <c:v>0</c:v>
                </c:pt>
                <c:pt idx="1">
                  <c:v>0</c:v>
                </c:pt>
                <c:pt idx="2">
                  <c:v>37.058059999999998</c:v>
                </c:pt>
                <c:pt idx="3">
                  <c:v>52.599871</c:v>
                </c:pt>
                <c:pt idx="4">
                  <c:v>112.330657</c:v>
                </c:pt>
                <c:pt idx="5">
                  <c:v>120.025964</c:v>
                </c:pt>
                <c:pt idx="6">
                  <c:v>120.930572</c:v>
                </c:pt>
                <c:pt idx="7">
                  <c:v>144.29374799999999</c:v>
                </c:pt>
                <c:pt idx="8">
                  <c:v>172.03639100000001</c:v>
                </c:pt>
                <c:pt idx="9">
                  <c:v>316.508622</c:v>
                </c:pt>
                <c:pt idx="10">
                  <c:v>384.034918</c:v>
                </c:pt>
                <c:pt idx="11">
                  <c:v>348.31492200000002</c:v>
                </c:pt>
                <c:pt idx="12">
                  <c:v>390.72035199999999</c:v>
                </c:pt>
                <c:pt idx="13">
                  <c:v>373.78777500000001</c:v>
                </c:pt>
                <c:pt idx="14">
                  <c:v>247.00965500000001</c:v>
                </c:pt>
                <c:pt idx="15">
                  <c:v>265.18032399999998</c:v>
                </c:pt>
                <c:pt idx="16">
                  <c:v>265.96448500000002</c:v>
                </c:pt>
                <c:pt idx="17">
                  <c:v>1149.6430499999999</c:v>
                </c:pt>
                <c:pt idx="18">
                  <c:v>1192.952957</c:v>
                </c:pt>
              </c:numCache>
            </c:numRef>
          </c:val>
          <c:extLst>
            <c:ext xmlns:c16="http://schemas.microsoft.com/office/drawing/2014/chart" uri="{C3380CC4-5D6E-409C-BE32-E72D297353CC}">
              <c16:uniqueId val="{00000000-BFA2-F74A-AE6C-231F48DE9A38}"/>
            </c:ext>
          </c:extLst>
        </c:ser>
        <c:dLbls>
          <c:showLegendKey val="0"/>
          <c:showVal val="0"/>
          <c:showCatName val="0"/>
          <c:showSerName val="0"/>
          <c:showPercent val="0"/>
          <c:showBubbleSize val="0"/>
        </c:dLbls>
        <c:gapWidth val="150"/>
        <c:axId val="411536272"/>
        <c:axId val="411527024"/>
      </c:barChart>
      <c:catAx>
        <c:axId val="411536272"/>
        <c:scaling>
          <c:orientation val="minMax"/>
        </c:scaling>
        <c:delete val="0"/>
        <c:axPos val="b"/>
        <c:title>
          <c:tx>
            <c:rich>
              <a:bodyPr/>
              <a:lstStyle/>
              <a:p>
                <a:pPr>
                  <a:defRPr sz="1200"/>
                </a:pPr>
                <a:r>
                  <a:rPr lang="en-US" sz="1200"/>
                  <a:t>Fiscal Year</a:t>
                </a:r>
              </a:p>
            </c:rich>
          </c:tx>
          <c:layout>
            <c:manualLayout>
              <c:xMode val="edge"/>
              <c:yMode val="edge"/>
              <c:x val="0.51269424232162897"/>
              <c:y val="0.91856945601153805"/>
            </c:manualLayout>
          </c:layout>
          <c:overlay val="0"/>
        </c:title>
        <c:numFmt formatCode="General" sourceLinked="0"/>
        <c:majorTickMark val="out"/>
        <c:minorTickMark val="none"/>
        <c:tickLblPos val="nextTo"/>
        <c:txPr>
          <a:bodyPr/>
          <a:lstStyle/>
          <a:p>
            <a:pPr>
              <a:defRPr sz="1200" b="0" baseline="0">
                <a:latin typeface="+mn-lt"/>
                <a:cs typeface="Arial" panose="020B0604020202020204" pitchFamily="34" charset="0"/>
              </a:defRPr>
            </a:pPr>
            <a:endParaRPr lang="en-US"/>
          </a:p>
        </c:txPr>
        <c:crossAx val="411527024"/>
        <c:crosses val="autoZero"/>
        <c:auto val="1"/>
        <c:lblAlgn val="ctr"/>
        <c:lblOffset val="100"/>
        <c:noMultiLvlLbl val="0"/>
      </c:catAx>
      <c:valAx>
        <c:axId val="411527024"/>
        <c:scaling>
          <c:orientation val="minMax"/>
        </c:scaling>
        <c:delete val="0"/>
        <c:axPos val="l"/>
        <c:majorGridlines/>
        <c:title>
          <c:tx>
            <c:rich>
              <a:bodyPr/>
              <a:lstStyle/>
              <a:p>
                <a:pPr>
                  <a:defRPr sz="1200"/>
                </a:pPr>
                <a:r>
                  <a:rPr lang="en-US" sz="1200"/>
                  <a:t>Product Distributed (Millions)</a:t>
                </a:r>
              </a:p>
            </c:rich>
          </c:tx>
          <c:layout>
            <c:manualLayout>
              <c:xMode val="edge"/>
              <c:yMode val="edge"/>
              <c:x val="1.6285028493567399E-2"/>
              <c:y val="0.17328868888728299"/>
            </c:manualLayout>
          </c:layout>
          <c:overlay val="0"/>
        </c:title>
        <c:numFmt formatCode="#,##0" sourceLinked="0"/>
        <c:majorTickMark val="out"/>
        <c:minorTickMark val="none"/>
        <c:tickLblPos val="nextTo"/>
        <c:spPr>
          <a:ln>
            <a:solidFill>
              <a:schemeClr val="bg1">
                <a:lumMod val="50000"/>
              </a:schemeClr>
            </a:solidFill>
          </a:ln>
        </c:spPr>
        <c:txPr>
          <a:bodyPr/>
          <a:lstStyle/>
          <a:p>
            <a:pPr>
              <a:defRPr sz="1200">
                <a:latin typeface="+mn-lt"/>
                <a:cs typeface="Arial" panose="020B0604020202020204" pitchFamily="34" charset="0"/>
              </a:defRPr>
            </a:pPr>
            <a:endParaRPr lang="en-US"/>
          </a:p>
        </c:txPr>
        <c:crossAx val="411536272"/>
        <c:crosses val="autoZero"/>
        <c:crossBetween val="between"/>
      </c:valAx>
      <c:spPr>
        <a:ln>
          <a:solidFill>
            <a:schemeClr val="bg1">
              <a:lumMod val="50000"/>
            </a:schemeClr>
          </a:solidFill>
          <a:prstDash val="solid"/>
        </a:ln>
      </c:spPr>
    </c:plotArea>
    <c:plotVisOnly val="1"/>
    <c:dispBlanksAs val="gap"/>
    <c:showDLblsOverMax val="0"/>
  </c:chart>
  <c:printSettings>
    <c:headerFooter/>
    <c:pageMargins b="0.750000000000004" l="0.70000000000000095" r="0.70000000000000095" t="0.750000000000004"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44377647232707"/>
          <c:y val="0.143607581541664"/>
          <c:w val="0.80852879025372704"/>
          <c:h val="0.70576857582792596"/>
        </c:manualLayout>
      </c:layout>
      <c:barChart>
        <c:barDir val="col"/>
        <c:grouping val="clustered"/>
        <c:varyColors val="0"/>
        <c:ser>
          <c:idx val="0"/>
          <c:order val="0"/>
          <c:tx>
            <c:strRef>
              <c:f>data!$H$283</c:f>
              <c:strCache>
                <c:ptCount val="1"/>
                <c:pt idx="0">
                  <c:v>VISITS</c:v>
                </c:pt>
              </c:strCache>
            </c:strRef>
          </c:tx>
          <c:invertIfNegative val="0"/>
          <c:cat>
            <c:strRef>
              <c:f>data!$A$284:$A$302</c:f>
              <c:strCache>
                <c:ptCount val="19"/>
                <c:pt idx="0">
                  <c:v>FY07</c:v>
                </c:pt>
                <c:pt idx="1">
                  <c:v>FY08</c:v>
                </c:pt>
                <c:pt idx="2">
                  <c:v>FY09</c:v>
                </c:pt>
                <c:pt idx="3">
                  <c:v>FY10</c:v>
                </c:pt>
                <c:pt idx="4">
                  <c:v>FY11</c:v>
                </c:pt>
                <c:pt idx="5">
                  <c:v>FY12</c:v>
                </c:pt>
                <c:pt idx="6">
                  <c:v>FY13</c:v>
                </c:pt>
                <c:pt idx="7">
                  <c:v>FY14</c:v>
                </c:pt>
                <c:pt idx="8">
                  <c:v>FY15</c:v>
                </c:pt>
                <c:pt idx="9">
                  <c:v>FY16</c:v>
                </c:pt>
                <c:pt idx="10">
                  <c:v>FY17</c:v>
                </c:pt>
                <c:pt idx="11">
                  <c:v>FY18</c:v>
                </c:pt>
                <c:pt idx="12">
                  <c:v>FY19</c:v>
                </c:pt>
                <c:pt idx="13">
                  <c:v>FY20</c:v>
                </c:pt>
                <c:pt idx="14">
                  <c:v>FY21</c:v>
                </c:pt>
                <c:pt idx="15">
                  <c:v>FY22</c:v>
                </c:pt>
                <c:pt idx="16">
                  <c:v>FY23</c:v>
                </c:pt>
                <c:pt idx="17">
                  <c:v>FY24</c:v>
                </c:pt>
                <c:pt idx="18">
                  <c:v>FY25</c:v>
                </c:pt>
              </c:strCache>
            </c:strRef>
          </c:cat>
          <c:val>
            <c:numRef>
              <c:f>data!$H$284:$H$302</c:f>
              <c:numCache>
                <c:formatCode>_(* #,##0_);_(* \(#,##0\);_(* "-"??_);_(@_)</c:formatCode>
                <c:ptCount val="19"/>
                <c:pt idx="2">
                  <c:v>1195</c:v>
                </c:pt>
                <c:pt idx="3">
                  <c:v>2241</c:v>
                </c:pt>
                <c:pt idx="4">
                  <c:v>2504</c:v>
                </c:pt>
                <c:pt idx="5">
                  <c:v>5628</c:v>
                </c:pt>
                <c:pt idx="6">
                  <c:v>8326</c:v>
                </c:pt>
                <c:pt idx="7">
                  <c:v>6975</c:v>
                </c:pt>
                <c:pt idx="8">
                  <c:v>8284</c:v>
                </c:pt>
                <c:pt idx="9">
                  <c:v>10869</c:v>
                </c:pt>
                <c:pt idx="10">
                  <c:v>14866</c:v>
                </c:pt>
                <c:pt idx="11">
                  <c:v>25193</c:v>
                </c:pt>
                <c:pt idx="12">
                  <c:v>27289</c:v>
                </c:pt>
                <c:pt idx="13">
                  <c:v>31492</c:v>
                </c:pt>
                <c:pt idx="14">
                  <c:v>97015</c:v>
                </c:pt>
                <c:pt idx="15">
                  <c:v>100671</c:v>
                </c:pt>
                <c:pt idx="16">
                  <c:v>113328</c:v>
                </c:pt>
                <c:pt idx="17">
                  <c:v>219702</c:v>
                </c:pt>
                <c:pt idx="18">
                  <c:v>382926</c:v>
                </c:pt>
              </c:numCache>
            </c:numRef>
          </c:val>
          <c:extLst>
            <c:ext xmlns:c16="http://schemas.microsoft.com/office/drawing/2014/chart" uri="{C3380CC4-5D6E-409C-BE32-E72D297353CC}">
              <c16:uniqueId val="{00000000-F6D2-2748-A366-1924DC594575}"/>
            </c:ext>
          </c:extLst>
        </c:ser>
        <c:ser>
          <c:idx val="1"/>
          <c:order val="1"/>
          <c:tx>
            <c:strRef>
              <c:f>data!$I$283</c:f>
              <c:strCache>
                <c:ptCount val="1"/>
                <c:pt idx="0">
                  <c:v>VIEWS</c:v>
                </c:pt>
              </c:strCache>
            </c:strRef>
          </c:tx>
          <c:invertIfNegative val="0"/>
          <c:cat>
            <c:strRef>
              <c:f>data!$A$284:$A$302</c:f>
              <c:strCache>
                <c:ptCount val="19"/>
                <c:pt idx="0">
                  <c:v>FY07</c:v>
                </c:pt>
                <c:pt idx="1">
                  <c:v>FY08</c:v>
                </c:pt>
                <c:pt idx="2">
                  <c:v>FY09</c:v>
                </c:pt>
                <c:pt idx="3">
                  <c:v>FY10</c:v>
                </c:pt>
                <c:pt idx="4">
                  <c:v>FY11</c:v>
                </c:pt>
                <c:pt idx="5">
                  <c:v>FY12</c:v>
                </c:pt>
                <c:pt idx="6">
                  <c:v>FY13</c:v>
                </c:pt>
                <c:pt idx="7">
                  <c:v>FY14</c:v>
                </c:pt>
                <c:pt idx="8">
                  <c:v>FY15</c:v>
                </c:pt>
                <c:pt idx="9">
                  <c:v>FY16</c:v>
                </c:pt>
                <c:pt idx="10">
                  <c:v>FY17</c:v>
                </c:pt>
                <c:pt idx="11">
                  <c:v>FY18</c:v>
                </c:pt>
                <c:pt idx="12">
                  <c:v>FY19</c:v>
                </c:pt>
                <c:pt idx="13">
                  <c:v>FY20</c:v>
                </c:pt>
                <c:pt idx="14">
                  <c:v>FY21</c:v>
                </c:pt>
                <c:pt idx="15">
                  <c:v>FY22</c:v>
                </c:pt>
                <c:pt idx="16">
                  <c:v>FY23</c:v>
                </c:pt>
                <c:pt idx="17">
                  <c:v>FY24</c:v>
                </c:pt>
                <c:pt idx="18">
                  <c:v>FY25</c:v>
                </c:pt>
              </c:strCache>
            </c:strRef>
          </c:cat>
          <c:val>
            <c:numRef>
              <c:f>data!$I$284:$I$302</c:f>
              <c:numCache>
                <c:formatCode>_(* #,##0_);_(* \(#,##0\);_(* "-"??_);_(@_)</c:formatCode>
                <c:ptCount val="19"/>
                <c:pt idx="2">
                  <c:v>7220</c:v>
                </c:pt>
                <c:pt idx="3">
                  <c:v>13695</c:v>
                </c:pt>
                <c:pt idx="4">
                  <c:v>57720</c:v>
                </c:pt>
                <c:pt idx="5">
                  <c:v>108135</c:v>
                </c:pt>
                <c:pt idx="6">
                  <c:v>347006</c:v>
                </c:pt>
                <c:pt idx="7">
                  <c:v>122957</c:v>
                </c:pt>
                <c:pt idx="8">
                  <c:v>53139</c:v>
                </c:pt>
                <c:pt idx="9">
                  <c:v>64554</c:v>
                </c:pt>
                <c:pt idx="10">
                  <c:v>96028</c:v>
                </c:pt>
                <c:pt idx="11">
                  <c:v>276196</c:v>
                </c:pt>
                <c:pt idx="12">
                  <c:v>157841</c:v>
                </c:pt>
                <c:pt idx="13">
                  <c:v>245674</c:v>
                </c:pt>
                <c:pt idx="14">
                  <c:v>1921102</c:v>
                </c:pt>
                <c:pt idx="15">
                  <c:v>2271751</c:v>
                </c:pt>
                <c:pt idx="16">
                  <c:v>1590534</c:v>
                </c:pt>
                <c:pt idx="17">
                  <c:v>1698891</c:v>
                </c:pt>
                <c:pt idx="18">
                  <c:v>2099056</c:v>
                </c:pt>
              </c:numCache>
            </c:numRef>
          </c:val>
          <c:extLst>
            <c:ext xmlns:c16="http://schemas.microsoft.com/office/drawing/2014/chart" uri="{C3380CC4-5D6E-409C-BE32-E72D297353CC}">
              <c16:uniqueId val="{00000001-F6D2-2748-A366-1924DC594575}"/>
            </c:ext>
          </c:extLst>
        </c:ser>
        <c:ser>
          <c:idx val="2"/>
          <c:order val="2"/>
          <c:tx>
            <c:strRef>
              <c:f>data!$J$283</c:f>
              <c:strCache>
                <c:ptCount val="1"/>
                <c:pt idx="0">
                  <c:v>VISITORS</c:v>
                </c:pt>
              </c:strCache>
            </c:strRef>
          </c:tx>
          <c:invertIfNegative val="0"/>
          <c:cat>
            <c:strRef>
              <c:f>data!$A$284:$A$302</c:f>
              <c:strCache>
                <c:ptCount val="19"/>
                <c:pt idx="0">
                  <c:v>FY07</c:v>
                </c:pt>
                <c:pt idx="1">
                  <c:v>FY08</c:v>
                </c:pt>
                <c:pt idx="2">
                  <c:v>FY09</c:v>
                </c:pt>
                <c:pt idx="3">
                  <c:v>FY10</c:v>
                </c:pt>
                <c:pt idx="4">
                  <c:v>FY11</c:v>
                </c:pt>
                <c:pt idx="5">
                  <c:v>FY12</c:v>
                </c:pt>
                <c:pt idx="6">
                  <c:v>FY13</c:v>
                </c:pt>
                <c:pt idx="7">
                  <c:v>FY14</c:v>
                </c:pt>
                <c:pt idx="8">
                  <c:v>FY15</c:v>
                </c:pt>
                <c:pt idx="9">
                  <c:v>FY16</c:v>
                </c:pt>
                <c:pt idx="10">
                  <c:v>FY17</c:v>
                </c:pt>
                <c:pt idx="11">
                  <c:v>FY18</c:v>
                </c:pt>
                <c:pt idx="12">
                  <c:v>FY19</c:v>
                </c:pt>
                <c:pt idx="13">
                  <c:v>FY20</c:v>
                </c:pt>
                <c:pt idx="14">
                  <c:v>FY21</c:v>
                </c:pt>
                <c:pt idx="15">
                  <c:v>FY22</c:v>
                </c:pt>
                <c:pt idx="16">
                  <c:v>FY23</c:v>
                </c:pt>
                <c:pt idx="17">
                  <c:v>FY24</c:v>
                </c:pt>
                <c:pt idx="18">
                  <c:v>FY25</c:v>
                </c:pt>
              </c:strCache>
            </c:strRef>
          </c:cat>
          <c:val>
            <c:numRef>
              <c:f>data!$J$284:$J$302</c:f>
              <c:numCache>
                <c:formatCode>_(* #,##0_);_(* \(#,##0\);_(* "-"??_);_(@_)</c:formatCode>
                <c:ptCount val="19"/>
                <c:pt idx="2">
                  <c:v>979</c:v>
                </c:pt>
                <c:pt idx="3">
                  <c:v>1935</c:v>
                </c:pt>
                <c:pt idx="4">
                  <c:v>2093</c:v>
                </c:pt>
                <c:pt idx="5">
                  <c:v>4486</c:v>
                </c:pt>
                <c:pt idx="6">
                  <c:v>5414</c:v>
                </c:pt>
                <c:pt idx="7">
                  <c:v>4896</c:v>
                </c:pt>
                <c:pt idx="8">
                  <c:v>6574</c:v>
                </c:pt>
                <c:pt idx="9">
                  <c:v>8640</c:v>
                </c:pt>
                <c:pt idx="10">
                  <c:v>11549</c:v>
                </c:pt>
                <c:pt idx="11">
                  <c:v>19688</c:v>
                </c:pt>
                <c:pt idx="12">
                  <c:v>20405</c:v>
                </c:pt>
                <c:pt idx="13">
                  <c:v>24594</c:v>
                </c:pt>
                <c:pt idx="14">
                  <c:v>78998</c:v>
                </c:pt>
                <c:pt idx="15">
                  <c:v>60258</c:v>
                </c:pt>
                <c:pt idx="16">
                  <c:v>102005</c:v>
                </c:pt>
                <c:pt idx="17">
                  <c:v>141136</c:v>
                </c:pt>
                <c:pt idx="18">
                  <c:v>111592</c:v>
                </c:pt>
              </c:numCache>
            </c:numRef>
          </c:val>
          <c:extLst>
            <c:ext xmlns:c16="http://schemas.microsoft.com/office/drawing/2014/chart" uri="{C3380CC4-5D6E-409C-BE32-E72D297353CC}">
              <c16:uniqueId val="{00000002-F6D2-2748-A366-1924DC594575}"/>
            </c:ext>
          </c:extLst>
        </c:ser>
        <c:dLbls>
          <c:showLegendKey val="0"/>
          <c:showVal val="0"/>
          <c:showCatName val="0"/>
          <c:showSerName val="0"/>
          <c:showPercent val="0"/>
          <c:showBubbleSize val="0"/>
        </c:dLbls>
        <c:gapWidth val="219"/>
        <c:overlap val="-27"/>
        <c:axId val="411530288"/>
        <c:axId val="411536816"/>
      </c:barChart>
      <c:catAx>
        <c:axId val="411530288"/>
        <c:scaling>
          <c:orientation val="minMax"/>
        </c:scaling>
        <c:delete val="0"/>
        <c:axPos val="b"/>
        <c:title>
          <c:tx>
            <c:rich>
              <a:bodyPr rot="0" spcFirstLastPara="1" vertOverflow="ellipsis" vert="horz" wrap="square" anchor="ctr" anchorCtr="1"/>
              <a:lstStyle/>
              <a:p>
                <a:pPr>
                  <a:defRPr sz="1200" b="1" i="0" u="none" strike="noStrike" kern="1200" baseline="0">
                    <a:solidFill>
                      <a:sysClr val="windowText" lastClr="000000"/>
                    </a:solidFill>
                    <a:latin typeface="+mn-lt"/>
                    <a:ea typeface="+mn-ea"/>
                    <a:cs typeface="+mn-cs"/>
                  </a:defRPr>
                </a:pPr>
                <a:r>
                  <a:rPr lang="en-US" sz="1200" b="1">
                    <a:solidFill>
                      <a:sysClr val="windowText" lastClr="000000"/>
                    </a:solidFill>
                  </a:rPr>
                  <a:t>Fiscal Year</a:t>
                </a:r>
              </a:p>
            </c:rich>
          </c:tx>
          <c:layout>
            <c:manualLayout>
              <c:xMode val="edge"/>
              <c:yMode val="edge"/>
              <c:x val="0.52015726535887796"/>
              <c:y val="0.92867232948051204"/>
            </c:manualLayout>
          </c:layout>
          <c:overlay val="0"/>
          <c:spPr>
            <a:noFill/>
            <a:ln>
              <a:noFill/>
            </a:ln>
            <a:effectLst/>
          </c:spPr>
        </c:title>
        <c:numFmt formatCode="General" sourceLinked="1"/>
        <c:majorTickMark val="out"/>
        <c:minorTickMark val="none"/>
        <c:tickLblPos val="nextTo"/>
        <c:spPr>
          <a:noFill/>
          <a:ln w="12700" cap="flat" cmpd="sng" algn="ctr">
            <a:solidFill>
              <a:schemeClr val="bg1">
                <a:lumMod val="50000"/>
              </a:schemeClr>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en-US"/>
          </a:p>
        </c:txPr>
        <c:crossAx val="411536816"/>
        <c:crosses val="autoZero"/>
        <c:auto val="1"/>
        <c:lblAlgn val="ctr"/>
        <c:lblOffset val="100"/>
        <c:noMultiLvlLbl val="0"/>
      </c:catAx>
      <c:valAx>
        <c:axId val="411536816"/>
        <c:scaling>
          <c:orientation val="minMax"/>
        </c:scaling>
        <c:delete val="0"/>
        <c:axPos val="l"/>
        <c:majorGridlines>
          <c:spPr>
            <a:ln w="9525" cap="flat" cmpd="sng" algn="ctr">
              <a:solidFill>
                <a:schemeClr val="bg1">
                  <a:lumMod val="50000"/>
                </a:schemeClr>
              </a:solidFill>
              <a:round/>
            </a:ln>
            <a:effectLst/>
          </c:spPr>
        </c:majorGridlines>
        <c:title>
          <c:tx>
            <c:rich>
              <a:bodyPr rot="-5400000" spcFirstLastPara="1" vertOverflow="ellipsis" vert="horz" wrap="square" anchor="ctr" anchorCtr="1"/>
              <a:lstStyle/>
              <a:p>
                <a:pPr>
                  <a:defRPr sz="1200" b="1" i="0" u="none" strike="noStrike" kern="1200" baseline="0">
                    <a:solidFill>
                      <a:sysClr val="windowText" lastClr="000000"/>
                    </a:solidFill>
                    <a:latin typeface="+mn-lt"/>
                    <a:ea typeface="+mn-ea"/>
                    <a:cs typeface="+mn-cs"/>
                  </a:defRPr>
                </a:pPr>
                <a:r>
                  <a:rPr lang="en-US" sz="1200" b="1">
                    <a:solidFill>
                      <a:sysClr val="windowText" lastClr="000000"/>
                    </a:solidFill>
                  </a:rPr>
                  <a:t>Number </a:t>
                </a:r>
              </a:p>
            </c:rich>
          </c:tx>
          <c:layout>
            <c:manualLayout>
              <c:xMode val="edge"/>
              <c:yMode val="edge"/>
              <c:x val="3.3999234192006499E-3"/>
              <c:y val="0.346614823753157"/>
            </c:manualLayout>
          </c:layout>
          <c:overlay val="0"/>
          <c:spPr>
            <a:noFill/>
            <a:ln>
              <a:noFill/>
            </a:ln>
            <a:effectLst/>
          </c:spPr>
        </c:title>
        <c:numFmt formatCode="#,##0" sourceLinked="0"/>
        <c:majorTickMark val="out"/>
        <c:minorTickMark val="none"/>
        <c:tickLblPos val="nextTo"/>
        <c:spPr>
          <a:noFill/>
          <a:ln>
            <a:solidFill>
              <a:schemeClr val="bg1">
                <a:lumMod val="50000"/>
              </a:schemeClr>
            </a:solid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en-US"/>
          </a:p>
        </c:txPr>
        <c:crossAx val="411530288"/>
        <c:crosses val="autoZero"/>
        <c:crossBetween val="between"/>
      </c:valAx>
      <c:spPr>
        <a:noFill/>
        <a:ln>
          <a:solidFill>
            <a:schemeClr val="bg1">
              <a:lumMod val="50000"/>
            </a:schemeClr>
          </a:solidFill>
        </a:ln>
        <a:effectLst/>
      </c:spPr>
    </c:plotArea>
    <c:legend>
      <c:legendPos val="b"/>
      <c:layout>
        <c:manualLayout>
          <c:xMode val="edge"/>
          <c:yMode val="edge"/>
          <c:x val="0.35668327947176154"/>
          <c:y val="0.15454033245844268"/>
          <c:w val="0.43458209103110301"/>
          <c:h val="7.0069702211775803E-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bg1">
          <a:lumMod val="50000"/>
        </a:schemeClr>
      </a:solidFill>
      <a:round/>
    </a:ln>
    <a:effectLst/>
  </c:spPr>
  <c:txPr>
    <a:bodyPr/>
    <a:lstStyle/>
    <a:p>
      <a:pPr>
        <a:defRPr/>
      </a:pPr>
      <a:endParaRPr lang="en-US"/>
    </a:p>
  </c:txPr>
  <c:printSettings>
    <c:headerFooter/>
    <c:pageMargins b="0.75" l="0.7" r="0.7" t="0.75" header="0.3" footer="0.3"/>
    <c:pageSetup/>
  </c:printSettings>
  <c:userShapes r:id="rId1"/>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a:latin typeface="+mn-lt"/>
                <a:cs typeface="Arial" panose="020B0604020202020204" pitchFamily="34" charset="0"/>
              </a:defRPr>
            </a:pPr>
            <a:r>
              <a:rPr lang="en-US"/>
              <a:t>GESDISC Multi-Year Total Archive Volume Trend</a:t>
            </a:r>
          </a:p>
        </c:rich>
      </c:tx>
      <c:layout>
        <c:manualLayout>
          <c:xMode val="edge"/>
          <c:yMode val="edge"/>
          <c:x val="0.223544133657093"/>
          <c:y val="3.8412164179890997E-2"/>
        </c:manualLayout>
      </c:layout>
      <c:overlay val="0"/>
    </c:title>
    <c:autoTitleDeleted val="0"/>
    <c:plotArea>
      <c:layout>
        <c:manualLayout>
          <c:layoutTarget val="inner"/>
          <c:xMode val="edge"/>
          <c:yMode val="edge"/>
          <c:x val="0.156188786714438"/>
          <c:y val="0.18228668594254499"/>
          <c:w val="0.80487043883359"/>
          <c:h val="0.65076746334831104"/>
        </c:manualLayout>
      </c:layout>
      <c:barChart>
        <c:barDir val="col"/>
        <c:grouping val="clustered"/>
        <c:varyColors val="0"/>
        <c:ser>
          <c:idx val="0"/>
          <c:order val="0"/>
          <c:tx>
            <c:strRef>
              <c:f>data!$F$156</c:f>
              <c:strCache>
                <c:ptCount val="1"/>
                <c:pt idx="0">
                  <c:v>GESDISC</c:v>
                </c:pt>
              </c:strCache>
            </c:strRef>
          </c:tx>
          <c:spPr>
            <a:solidFill>
              <a:schemeClr val="accent2">
                <a:lumMod val="75000"/>
              </a:schemeClr>
            </a:solidFill>
          </c:spPr>
          <c:invertIfNegative val="0"/>
          <c:cat>
            <c:strRef>
              <c:f>data!$A$157:$A$174</c:f>
              <c:strCache>
                <c:ptCount val="18"/>
                <c:pt idx="0">
                  <c:v>FY08</c:v>
                </c:pt>
                <c:pt idx="1">
                  <c:v>FY09</c:v>
                </c:pt>
                <c:pt idx="2">
                  <c:v>FY10</c:v>
                </c:pt>
                <c:pt idx="3">
                  <c:v>FY11</c:v>
                </c:pt>
                <c:pt idx="4">
                  <c:v>FY12</c:v>
                </c:pt>
                <c:pt idx="5">
                  <c:v>FY13</c:v>
                </c:pt>
                <c:pt idx="6">
                  <c:v>FY14</c:v>
                </c:pt>
                <c:pt idx="7">
                  <c:v>FY15</c:v>
                </c:pt>
                <c:pt idx="8">
                  <c:v>FY16</c:v>
                </c:pt>
                <c:pt idx="9">
                  <c:v>FY17</c:v>
                </c:pt>
                <c:pt idx="10">
                  <c:v>FY18</c:v>
                </c:pt>
                <c:pt idx="11">
                  <c:v>FY19</c:v>
                </c:pt>
                <c:pt idx="12">
                  <c:v>FY20</c:v>
                </c:pt>
                <c:pt idx="13">
                  <c:v>FY21</c:v>
                </c:pt>
                <c:pt idx="14">
                  <c:v>FY22</c:v>
                </c:pt>
                <c:pt idx="15">
                  <c:v>FY23</c:v>
                </c:pt>
                <c:pt idx="16">
                  <c:v>FY24</c:v>
                </c:pt>
                <c:pt idx="17">
                  <c:v>FY25</c:v>
                </c:pt>
              </c:strCache>
            </c:strRef>
          </c:cat>
          <c:val>
            <c:numRef>
              <c:f>data!$F$157:$F$174</c:f>
              <c:numCache>
                <c:formatCode>_(* #,##0.00_);_(* \(#,##0.00\);_(* "-"??_);_(@_)</c:formatCode>
                <c:ptCount val="18"/>
                <c:pt idx="0">
                  <c:v>219.88722949218749</c:v>
                </c:pt>
                <c:pt idx="1">
                  <c:v>317.83100000000002</c:v>
                </c:pt>
                <c:pt idx="2">
                  <c:v>381.539158203125</c:v>
                </c:pt>
                <c:pt idx="3">
                  <c:v>422.22720703124997</c:v>
                </c:pt>
                <c:pt idx="4">
                  <c:v>515.71818359375004</c:v>
                </c:pt>
                <c:pt idx="5">
                  <c:v>668.55621093750005</c:v>
                </c:pt>
                <c:pt idx="6">
                  <c:v>775.30918685094673</c:v>
                </c:pt>
                <c:pt idx="7">
                  <c:v>1161.8378222656249</c:v>
                </c:pt>
                <c:pt idx="8">
                  <c:v>1425.640654296875</c:v>
                </c:pt>
                <c:pt idx="9">
                  <c:v>1682.9938281249999</c:v>
                </c:pt>
                <c:pt idx="10">
                  <c:v>2098.7129058316209</c:v>
                </c:pt>
                <c:pt idx="11">
                  <c:v>2478.9318164062502</c:v>
                </c:pt>
                <c:pt idx="12">
                  <c:v>3240.997275390625</c:v>
                </c:pt>
                <c:pt idx="13">
                  <c:v>4080.5473339843752</c:v>
                </c:pt>
                <c:pt idx="14">
                  <c:v>5545.7002050781257</c:v>
                </c:pt>
                <c:pt idx="15">
                  <c:v>7966.1352528699899</c:v>
                </c:pt>
                <c:pt idx="16">
                  <c:v>11594.0864453125</c:v>
                </c:pt>
                <c:pt idx="17">
                  <c:v>13464.434580078127</c:v>
                </c:pt>
              </c:numCache>
            </c:numRef>
          </c:val>
          <c:extLst>
            <c:ext xmlns:c16="http://schemas.microsoft.com/office/drawing/2014/chart" uri="{C3380CC4-5D6E-409C-BE32-E72D297353CC}">
              <c16:uniqueId val="{00000000-2B8B-C34B-A75F-B0D06BC1707B}"/>
            </c:ext>
          </c:extLst>
        </c:ser>
        <c:dLbls>
          <c:showLegendKey val="0"/>
          <c:showVal val="0"/>
          <c:showCatName val="0"/>
          <c:showSerName val="0"/>
          <c:showPercent val="0"/>
          <c:showBubbleSize val="0"/>
        </c:dLbls>
        <c:gapWidth val="150"/>
        <c:axId val="411533008"/>
        <c:axId val="411532464"/>
      </c:barChart>
      <c:catAx>
        <c:axId val="411533008"/>
        <c:scaling>
          <c:orientation val="minMax"/>
        </c:scaling>
        <c:delete val="0"/>
        <c:axPos val="b"/>
        <c:title>
          <c:tx>
            <c:rich>
              <a:bodyPr/>
              <a:lstStyle/>
              <a:p>
                <a:pPr>
                  <a:defRPr sz="1200"/>
                </a:pPr>
                <a:r>
                  <a:rPr lang="en-US" sz="1200"/>
                  <a:t>Fiscal Year</a:t>
                </a:r>
              </a:p>
            </c:rich>
          </c:tx>
          <c:layout>
            <c:manualLayout>
              <c:xMode val="edge"/>
              <c:yMode val="edge"/>
              <c:x val="0.49999567596515698"/>
              <c:y val="0.91411120752953801"/>
            </c:manualLayout>
          </c:layout>
          <c:overlay val="0"/>
        </c:title>
        <c:numFmt formatCode="General" sourceLinked="0"/>
        <c:majorTickMark val="out"/>
        <c:minorTickMark val="none"/>
        <c:tickLblPos val="nextTo"/>
        <c:txPr>
          <a:bodyPr/>
          <a:lstStyle/>
          <a:p>
            <a:pPr>
              <a:defRPr sz="1200" b="0" baseline="0">
                <a:latin typeface="+mn-lt"/>
                <a:cs typeface="Arial" panose="020B0604020202020204" pitchFamily="34" charset="0"/>
              </a:defRPr>
            </a:pPr>
            <a:endParaRPr lang="en-US"/>
          </a:p>
        </c:txPr>
        <c:crossAx val="411532464"/>
        <c:crosses val="autoZero"/>
        <c:auto val="1"/>
        <c:lblAlgn val="ctr"/>
        <c:lblOffset val="100"/>
        <c:noMultiLvlLbl val="0"/>
      </c:catAx>
      <c:valAx>
        <c:axId val="411532464"/>
        <c:scaling>
          <c:orientation val="minMax"/>
        </c:scaling>
        <c:delete val="0"/>
        <c:axPos val="l"/>
        <c:majorGridlines/>
        <c:title>
          <c:tx>
            <c:rich>
              <a:bodyPr/>
              <a:lstStyle/>
              <a:p>
                <a:pPr>
                  <a:defRPr sz="1200"/>
                </a:pPr>
                <a:r>
                  <a:rPr lang="en-US" sz="1200"/>
                  <a:t>Volume (TB)</a:t>
                </a:r>
              </a:p>
            </c:rich>
          </c:tx>
          <c:layout>
            <c:manualLayout>
              <c:xMode val="edge"/>
              <c:yMode val="edge"/>
              <c:x val="1.62849872773537E-2"/>
              <c:y val="0.34790157257870402"/>
            </c:manualLayout>
          </c:layout>
          <c:overlay val="0"/>
        </c:title>
        <c:numFmt formatCode="#,##0" sourceLinked="0"/>
        <c:majorTickMark val="out"/>
        <c:minorTickMark val="none"/>
        <c:tickLblPos val="nextTo"/>
        <c:spPr>
          <a:ln>
            <a:solidFill>
              <a:schemeClr val="bg1">
                <a:lumMod val="50000"/>
              </a:schemeClr>
            </a:solidFill>
          </a:ln>
        </c:spPr>
        <c:txPr>
          <a:bodyPr/>
          <a:lstStyle/>
          <a:p>
            <a:pPr>
              <a:defRPr sz="1200">
                <a:latin typeface="+mn-lt"/>
                <a:cs typeface="Arial" panose="020B0604020202020204" pitchFamily="34" charset="0"/>
              </a:defRPr>
            </a:pPr>
            <a:endParaRPr lang="en-US"/>
          </a:p>
        </c:txPr>
        <c:crossAx val="411533008"/>
        <c:crosses val="autoZero"/>
        <c:crossBetween val="between"/>
      </c:valAx>
      <c:spPr>
        <a:ln>
          <a:solidFill>
            <a:schemeClr val="bg1">
              <a:lumMod val="50000"/>
            </a:schemeClr>
          </a:solidFill>
          <a:prstDash val="solid"/>
        </a:ln>
      </c:spPr>
    </c:plotArea>
    <c:plotVisOnly val="1"/>
    <c:dispBlanksAs val="gap"/>
    <c:showDLblsOverMax val="0"/>
  </c:chart>
  <c:printSettings>
    <c:headerFooter/>
    <c:pageMargins b="0.750000000000004" l="0.70000000000000095" r="0.70000000000000095" t="0.750000000000004"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969718055696397"/>
          <c:y val="0.14901950216041901"/>
          <c:w val="0.839465925789318"/>
          <c:h val="0.68891197860574704"/>
        </c:manualLayout>
      </c:layout>
      <c:lineChart>
        <c:grouping val="standard"/>
        <c:varyColors val="0"/>
        <c:ser>
          <c:idx val="0"/>
          <c:order val="0"/>
          <c:tx>
            <c:strRef>
              <c:f>data!$F$176</c:f>
              <c:strCache>
                <c:ptCount val="1"/>
                <c:pt idx="0">
                  <c:v>GES DISC</c:v>
                </c:pt>
              </c:strCache>
            </c:strRef>
          </c:tx>
          <c:marker>
            <c:symbol val="none"/>
          </c:marker>
          <c:cat>
            <c:strRef>
              <c:f>data!$A$177:$A$191</c:f>
              <c:strCache>
                <c:ptCount val="15"/>
                <c:pt idx="0">
                  <c:v>FY08</c:v>
                </c:pt>
                <c:pt idx="1">
                  <c:v>FY09</c:v>
                </c:pt>
                <c:pt idx="2">
                  <c:v>FY10</c:v>
                </c:pt>
                <c:pt idx="3">
                  <c:v>FY11</c:v>
                </c:pt>
                <c:pt idx="4">
                  <c:v>FY12</c:v>
                </c:pt>
                <c:pt idx="5">
                  <c:v>FY13</c:v>
                </c:pt>
                <c:pt idx="6">
                  <c:v>FY14</c:v>
                </c:pt>
                <c:pt idx="7">
                  <c:v>FY15</c:v>
                </c:pt>
                <c:pt idx="8">
                  <c:v>FY16</c:v>
                </c:pt>
                <c:pt idx="9">
                  <c:v>FY17</c:v>
                </c:pt>
                <c:pt idx="10">
                  <c:v>FY18</c:v>
                </c:pt>
                <c:pt idx="11">
                  <c:v>FY19</c:v>
                </c:pt>
                <c:pt idx="12">
                  <c:v>FY20</c:v>
                </c:pt>
                <c:pt idx="13">
                  <c:v>FY21</c:v>
                </c:pt>
                <c:pt idx="14">
                  <c:v>FY22</c:v>
                </c:pt>
              </c:strCache>
            </c:strRef>
          </c:cat>
          <c:val>
            <c:numRef>
              <c:f>data!$F$177:$F$191</c:f>
              <c:numCache>
                <c:formatCode>0.0%</c:formatCode>
                <c:ptCount val="15"/>
                <c:pt idx="0">
                  <c:v>0.16945548561694312</c:v>
                </c:pt>
                <c:pt idx="1">
                  <c:v>0.12795633717404487</c:v>
                </c:pt>
                <c:pt idx="2">
                  <c:v>0.24312821204724699</c:v>
                </c:pt>
                <c:pt idx="3">
                  <c:v>0.25707862269766241</c:v>
                </c:pt>
                <c:pt idx="4">
                  <c:v>0.32813815121172546</c:v>
                </c:pt>
                <c:pt idx="5">
                  <c:v>0.37452845127096934</c:v>
                </c:pt>
                <c:pt idx="6">
                  <c:v>0.41089104025421636</c:v>
                </c:pt>
                <c:pt idx="7">
                  <c:v>0.35548922384829218</c:v>
                </c:pt>
                <c:pt idx="8">
                  <c:v>0.36126485905789485</c:v>
                </c:pt>
                <c:pt idx="9">
                  <c:v>0.38022714452891504</c:v>
                </c:pt>
                <c:pt idx="10">
                  <c:v>0.39628506200495184</c:v>
                </c:pt>
                <c:pt idx="11">
                  <c:v>0.39183681279779559</c:v>
                </c:pt>
              </c:numCache>
            </c:numRef>
          </c:val>
          <c:smooth val="0"/>
          <c:extLst>
            <c:ext xmlns:c16="http://schemas.microsoft.com/office/drawing/2014/chart" uri="{C3380CC4-5D6E-409C-BE32-E72D297353CC}">
              <c16:uniqueId val="{00000000-09D5-6E42-8A9F-C90F6D3980E5}"/>
            </c:ext>
          </c:extLst>
        </c:ser>
        <c:dLbls>
          <c:showLegendKey val="0"/>
          <c:showVal val="0"/>
          <c:showCatName val="0"/>
          <c:showSerName val="0"/>
          <c:showPercent val="0"/>
          <c:showBubbleSize val="0"/>
        </c:dLbls>
        <c:smooth val="0"/>
        <c:axId val="411533552"/>
        <c:axId val="411535184"/>
      </c:lineChart>
      <c:catAx>
        <c:axId val="411533552"/>
        <c:scaling>
          <c:orientation val="minMax"/>
        </c:scaling>
        <c:delete val="0"/>
        <c:axPos val="b"/>
        <c:title>
          <c:tx>
            <c:rich>
              <a:bodyPr/>
              <a:lstStyle/>
              <a:p>
                <a:pPr>
                  <a:defRPr sz="1200"/>
                </a:pPr>
                <a:r>
                  <a:rPr lang="en-US" sz="1200"/>
                  <a:t>Fiscal Year</a:t>
                </a:r>
              </a:p>
            </c:rich>
          </c:tx>
          <c:layout>
            <c:manualLayout>
              <c:xMode val="edge"/>
              <c:yMode val="edge"/>
              <c:x val="0.48422756091902203"/>
              <c:y val="0.91945592070692705"/>
            </c:manualLayout>
          </c:layout>
          <c:overlay val="0"/>
        </c:title>
        <c:numFmt formatCode="General" sourceLinked="0"/>
        <c:majorTickMark val="out"/>
        <c:minorTickMark val="none"/>
        <c:tickLblPos val="nextTo"/>
        <c:txPr>
          <a:bodyPr/>
          <a:lstStyle/>
          <a:p>
            <a:pPr>
              <a:defRPr sz="1200" b="0" baseline="0">
                <a:latin typeface="+mn-lt"/>
                <a:cs typeface="Arial" panose="020B0604020202020204" pitchFamily="34" charset="0"/>
              </a:defRPr>
            </a:pPr>
            <a:endParaRPr lang="en-US"/>
          </a:p>
        </c:txPr>
        <c:crossAx val="411535184"/>
        <c:crosses val="autoZero"/>
        <c:auto val="1"/>
        <c:lblAlgn val="ctr"/>
        <c:lblOffset val="100"/>
        <c:noMultiLvlLbl val="0"/>
      </c:catAx>
      <c:valAx>
        <c:axId val="411535184"/>
        <c:scaling>
          <c:orientation val="minMax"/>
        </c:scaling>
        <c:delete val="0"/>
        <c:axPos val="l"/>
        <c:majorGridlines/>
        <c:title>
          <c:tx>
            <c:rich>
              <a:bodyPr/>
              <a:lstStyle/>
              <a:p>
                <a:pPr>
                  <a:defRPr sz="1200"/>
                </a:pPr>
                <a:r>
                  <a:rPr lang="en-US" sz="1200"/>
                  <a:t>Percentage</a:t>
                </a:r>
              </a:p>
            </c:rich>
          </c:tx>
          <c:layout>
            <c:manualLayout>
              <c:xMode val="edge"/>
              <c:yMode val="edge"/>
              <c:x val="4.8473441747445998E-3"/>
              <c:y val="0.36539536980201598"/>
            </c:manualLayout>
          </c:layout>
          <c:overlay val="0"/>
        </c:title>
        <c:numFmt formatCode="0%" sourceLinked="0"/>
        <c:majorTickMark val="out"/>
        <c:minorTickMark val="none"/>
        <c:tickLblPos val="nextTo"/>
        <c:txPr>
          <a:bodyPr/>
          <a:lstStyle/>
          <a:p>
            <a:pPr>
              <a:defRPr sz="1200">
                <a:solidFill>
                  <a:sysClr val="windowText" lastClr="000000"/>
                </a:solidFill>
                <a:latin typeface="+mn-lt"/>
                <a:cs typeface="Arial" panose="020B0604020202020204" pitchFamily="34" charset="0"/>
              </a:defRPr>
            </a:pPr>
            <a:endParaRPr lang="en-US"/>
          </a:p>
        </c:txPr>
        <c:crossAx val="411533552"/>
        <c:crosses val="autoZero"/>
        <c:crossBetween val="between"/>
      </c:valAx>
      <c:spPr>
        <a:ln>
          <a:solidFill>
            <a:schemeClr val="bg1">
              <a:lumMod val="50000"/>
            </a:schemeClr>
          </a:solidFill>
          <a:prstDash val="solid"/>
        </a:ln>
      </c:spPr>
    </c:plotArea>
    <c:plotVisOnly val="1"/>
    <c:dispBlanksAs val="gap"/>
    <c:showDLblsOverMax val="0"/>
  </c:chart>
  <c:printSettings>
    <c:headerFooter/>
    <c:pageMargins b="0.750000000000004" l="0.70000000000000095" r="0.70000000000000095" t="0.750000000000004" header="0.3" footer="0.3"/>
    <c:pageSetup/>
  </c:printSettings>
  <c:userShapes r:id="rId1"/>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a:latin typeface="+mn-lt"/>
                <a:cs typeface="Arial" panose="020B0604020202020204" pitchFamily="34" charset="0"/>
              </a:defRPr>
            </a:pPr>
            <a:r>
              <a:rPr lang="en-US"/>
              <a:t>GESDISC Multi-Year Product Distribution Trend</a:t>
            </a:r>
          </a:p>
        </c:rich>
      </c:tx>
      <c:layout>
        <c:manualLayout>
          <c:xMode val="edge"/>
          <c:yMode val="edge"/>
          <c:x val="0.219374642226661"/>
          <c:y val="4.2874122560153598E-2"/>
        </c:manualLayout>
      </c:layout>
      <c:overlay val="0"/>
    </c:title>
    <c:autoTitleDeleted val="0"/>
    <c:plotArea>
      <c:layout>
        <c:manualLayout>
          <c:layoutTarget val="inner"/>
          <c:xMode val="edge"/>
          <c:yMode val="edge"/>
          <c:x val="0.11953451473040878"/>
          <c:y val="0.18225294239347301"/>
          <c:w val="0.85083581315611434"/>
          <c:h val="0.65529307668611403"/>
        </c:manualLayout>
      </c:layout>
      <c:barChart>
        <c:barDir val="col"/>
        <c:grouping val="clustered"/>
        <c:varyColors val="0"/>
        <c:ser>
          <c:idx val="0"/>
          <c:order val="0"/>
          <c:tx>
            <c:strRef>
              <c:f>Summary_data!$H$21</c:f>
              <c:strCache>
                <c:ptCount val="1"/>
                <c:pt idx="0">
                  <c:v>GESDISC</c:v>
                </c:pt>
              </c:strCache>
            </c:strRef>
          </c:tx>
          <c:invertIfNegative val="0"/>
          <c:cat>
            <c:strRef>
              <c:f>Summary_data!$C$22:$C$40</c:f>
              <c:strCache>
                <c:ptCount val="19"/>
                <c:pt idx="0">
                  <c:v>FY07</c:v>
                </c:pt>
                <c:pt idx="1">
                  <c:v>FY08</c:v>
                </c:pt>
                <c:pt idx="2">
                  <c:v>FY09</c:v>
                </c:pt>
                <c:pt idx="3">
                  <c:v>FY10</c:v>
                </c:pt>
                <c:pt idx="4">
                  <c:v>FY11</c:v>
                </c:pt>
                <c:pt idx="5">
                  <c:v>FY12</c:v>
                </c:pt>
                <c:pt idx="6">
                  <c:v>FY13</c:v>
                </c:pt>
                <c:pt idx="7">
                  <c:v>FY14</c:v>
                </c:pt>
                <c:pt idx="8">
                  <c:v>FY15</c:v>
                </c:pt>
                <c:pt idx="9">
                  <c:v>FY16</c:v>
                </c:pt>
                <c:pt idx="10">
                  <c:v>FY17</c:v>
                </c:pt>
                <c:pt idx="11">
                  <c:v>FY18</c:v>
                </c:pt>
                <c:pt idx="12">
                  <c:v>FY19</c:v>
                </c:pt>
                <c:pt idx="13">
                  <c:v>FY20</c:v>
                </c:pt>
                <c:pt idx="14">
                  <c:v>FY21</c:v>
                </c:pt>
                <c:pt idx="15">
                  <c:v>FY22</c:v>
                </c:pt>
                <c:pt idx="16">
                  <c:v>FY23</c:v>
                </c:pt>
                <c:pt idx="17">
                  <c:v>FY24</c:v>
                </c:pt>
                <c:pt idx="18">
                  <c:v>FY25</c:v>
                </c:pt>
              </c:strCache>
            </c:strRef>
          </c:cat>
          <c:val>
            <c:numRef>
              <c:f>Summary_data!$H$22:$H$40</c:f>
              <c:numCache>
                <c:formatCode>_(* #,##0.0_);_(* \(#,##0.0\);_(* "-"??_);_(@_)</c:formatCode>
                <c:ptCount val="19"/>
                <c:pt idx="0">
                  <c:v>22.917339999999999</c:v>
                </c:pt>
                <c:pt idx="1">
                  <c:v>38.747579999999999</c:v>
                </c:pt>
                <c:pt idx="2">
                  <c:v>54.500664</c:v>
                </c:pt>
                <c:pt idx="3">
                  <c:v>84.223157999999998</c:v>
                </c:pt>
                <c:pt idx="4">
                  <c:v>133.841386</c:v>
                </c:pt>
                <c:pt idx="5">
                  <c:v>168.67674700000001</c:v>
                </c:pt>
                <c:pt idx="6">
                  <c:v>209.906859</c:v>
                </c:pt>
                <c:pt idx="7">
                  <c:v>283.25595800000002</c:v>
                </c:pt>
                <c:pt idx="8">
                  <c:v>405.060654</c:v>
                </c:pt>
                <c:pt idx="9">
                  <c:v>409.16399200000001</c:v>
                </c:pt>
                <c:pt idx="10">
                  <c:v>257.50330300000002</c:v>
                </c:pt>
                <c:pt idx="11">
                  <c:v>297.73108400000001</c:v>
                </c:pt>
                <c:pt idx="12">
                  <c:v>408.14651099999998</c:v>
                </c:pt>
                <c:pt idx="13">
                  <c:v>428.93781000000001</c:v>
                </c:pt>
                <c:pt idx="14">
                  <c:v>479.78938099999999</c:v>
                </c:pt>
                <c:pt idx="15">
                  <c:v>539.96653300000003</c:v>
                </c:pt>
                <c:pt idx="16">
                  <c:v>553.56933500000002</c:v>
                </c:pt>
                <c:pt idx="17">
                  <c:v>665.35047099999997</c:v>
                </c:pt>
                <c:pt idx="18">
                  <c:v>777.52756899999997</c:v>
                </c:pt>
              </c:numCache>
            </c:numRef>
          </c:val>
          <c:extLst>
            <c:ext xmlns:c16="http://schemas.microsoft.com/office/drawing/2014/chart" uri="{C3380CC4-5D6E-409C-BE32-E72D297353CC}">
              <c16:uniqueId val="{00000000-1A26-B042-8F5B-6A63B7C84127}"/>
            </c:ext>
          </c:extLst>
        </c:ser>
        <c:dLbls>
          <c:showLegendKey val="0"/>
          <c:showVal val="0"/>
          <c:showCatName val="0"/>
          <c:showSerName val="0"/>
          <c:showPercent val="0"/>
          <c:showBubbleSize val="0"/>
        </c:dLbls>
        <c:gapWidth val="150"/>
        <c:axId val="411525936"/>
        <c:axId val="411526480"/>
      </c:barChart>
      <c:catAx>
        <c:axId val="411525936"/>
        <c:scaling>
          <c:orientation val="minMax"/>
        </c:scaling>
        <c:delete val="0"/>
        <c:axPos val="b"/>
        <c:title>
          <c:tx>
            <c:rich>
              <a:bodyPr/>
              <a:lstStyle/>
              <a:p>
                <a:pPr>
                  <a:defRPr sz="1200"/>
                </a:pPr>
                <a:r>
                  <a:rPr lang="en-US" sz="1200"/>
                  <a:t>Fiscal Year</a:t>
                </a:r>
              </a:p>
            </c:rich>
          </c:tx>
          <c:layout>
            <c:manualLayout>
              <c:xMode val="edge"/>
              <c:yMode val="edge"/>
              <c:x val="0.51269424232162897"/>
              <c:y val="0.91856945601153805"/>
            </c:manualLayout>
          </c:layout>
          <c:overlay val="0"/>
        </c:title>
        <c:numFmt formatCode="General" sourceLinked="0"/>
        <c:majorTickMark val="out"/>
        <c:minorTickMark val="none"/>
        <c:tickLblPos val="nextTo"/>
        <c:txPr>
          <a:bodyPr/>
          <a:lstStyle/>
          <a:p>
            <a:pPr>
              <a:defRPr sz="1200" b="0" baseline="0">
                <a:latin typeface="+mn-lt"/>
                <a:cs typeface="Arial" panose="020B0604020202020204" pitchFamily="34" charset="0"/>
              </a:defRPr>
            </a:pPr>
            <a:endParaRPr lang="en-US"/>
          </a:p>
        </c:txPr>
        <c:crossAx val="411526480"/>
        <c:crosses val="autoZero"/>
        <c:auto val="1"/>
        <c:lblAlgn val="ctr"/>
        <c:lblOffset val="100"/>
        <c:noMultiLvlLbl val="0"/>
      </c:catAx>
      <c:valAx>
        <c:axId val="411526480"/>
        <c:scaling>
          <c:orientation val="minMax"/>
        </c:scaling>
        <c:delete val="0"/>
        <c:axPos val="l"/>
        <c:majorGridlines/>
        <c:title>
          <c:tx>
            <c:rich>
              <a:bodyPr/>
              <a:lstStyle/>
              <a:p>
                <a:pPr>
                  <a:defRPr sz="1200"/>
                </a:pPr>
                <a:r>
                  <a:rPr lang="en-US" sz="1200"/>
                  <a:t>Product Distributed (Millions)</a:t>
                </a:r>
              </a:p>
            </c:rich>
          </c:tx>
          <c:layout>
            <c:manualLayout>
              <c:xMode val="edge"/>
              <c:yMode val="edge"/>
              <c:x val="1.6285028493567399E-2"/>
              <c:y val="0.17328868888728299"/>
            </c:manualLayout>
          </c:layout>
          <c:overlay val="0"/>
        </c:title>
        <c:numFmt formatCode="#,##0" sourceLinked="0"/>
        <c:majorTickMark val="out"/>
        <c:minorTickMark val="none"/>
        <c:tickLblPos val="nextTo"/>
        <c:spPr>
          <a:ln>
            <a:solidFill>
              <a:schemeClr val="bg1">
                <a:lumMod val="50000"/>
              </a:schemeClr>
            </a:solidFill>
          </a:ln>
        </c:spPr>
        <c:txPr>
          <a:bodyPr/>
          <a:lstStyle/>
          <a:p>
            <a:pPr>
              <a:defRPr sz="1200">
                <a:latin typeface="+mn-lt"/>
                <a:cs typeface="Arial" panose="020B0604020202020204" pitchFamily="34" charset="0"/>
              </a:defRPr>
            </a:pPr>
            <a:endParaRPr lang="en-US"/>
          </a:p>
        </c:txPr>
        <c:crossAx val="411525936"/>
        <c:crosses val="autoZero"/>
        <c:crossBetween val="between"/>
      </c:valAx>
      <c:spPr>
        <a:ln>
          <a:solidFill>
            <a:schemeClr val="bg1">
              <a:lumMod val="50000"/>
            </a:schemeClr>
          </a:solidFill>
          <a:prstDash val="solid"/>
        </a:ln>
      </c:spPr>
    </c:plotArea>
    <c:plotVisOnly val="1"/>
    <c:dispBlanksAs val="gap"/>
    <c:showDLblsOverMax val="0"/>
  </c:chart>
  <c:printSettings>
    <c:headerFooter/>
    <c:pageMargins b="0.750000000000004" l="0.70000000000000095" r="0.70000000000000095" t="0.750000000000004"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64617039265194"/>
          <c:y val="0.143607581541664"/>
          <c:w val="0.798349496295651"/>
          <c:h val="0.70576857582792596"/>
        </c:manualLayout>
      </c:layout>
      <c:barChart>
        <c:barDir val="col"/>
        <c:grouping val="clustered"/>
        <c:varyColors val="0"/>
        <c:ser>
          <c:idx val="0"/>
          <c:order val="0"/>
          <c:tx>
            <c:strRef>
              <c:f>data!$N$283</c:f>
              <c:strCache>
                <c:ptCount val="1"/>
                <c:pt idx="0">
                  <c:v>VISITS</c:v>
                </c:pt>
              </c:strCache>
            </c:strRef>
          </c:tx>
          <c:invertIfNegative val="0"/>
          <c:cat>
            <c:strRef>
              <c:f>data!$A$284:$A$302</c:f>
              <c:strCache>
                <c:ptCount val="19"/>
                <c:pt idx="0">
                  <c:v>FY07</c:v>
                </c:pt>
                <c:pt idx="1">
                  <c:v>FY08</c:v>
                </c:pt>
                <c:pt idx="2">
                  <c:v>FY09</c:v>
                </c:pt>
                <c:pt idx="3">
                  <c:v>FY10</c:v>
                </c:pt>
                <c:pt idx="4">
                  <c:v>FY11</c:v>
                </c:pt>
                <c:pt idx="5">
                  <c:v>FY12</c:v>
                </c:pt>
                <c:pt idx="6">
                  <c:v>FY13</c:v>
                </c:pt>
                <c:pt idx="7">
                  <c:v>FY14</c:v>
                </c:pt>
                <c:pt idx="8">
                  <c:v>FY15</c:v>
                </c:pt>
                <c:pt idx="9">
                  <c:v>FY16</c:v>
                </c:pt>
                <c:pt idx="10">
                  <c:v>FY17</c:v>
                </c:pt>
                <c:pt idx="11">
                  <c:v>FY18</c:v>
                </c:pt>
                <c:pt idx="12">
                  <c:v>FY19</c:v>
                </c:pt>
                <c:pt idx="13">
                  <c:v>FY20</c:v>
                </c:pt>
                <c:pt idx="14">
                  <c:v>FY21</c:v>
                </c:pt>
                <c:pt idx="15">
                  <c:v>FY22</c:v>
                </c:pt>
                <c:pt idx="16">
                  <c:v>FY23</c:v>
                </c:pt>
                <c:pt idx="17">
                  <c:v>FY24</c:v>
                </c:pt>
                <c:pt idx="18">
                  <c:v>FY25</c:v>
                </c:pt>
              </c:strCache>
            </c:strRef>
          </c:cat>
          <c:val>
            <c:numRef>
              <c:f>data!$N$284:$N$302</c:f>
              <c:numCache>
                <c:formatCode>_(* #,##0_);_(* \(#,##0\);_(* "-"??_);_(@_)</c:formatCode>
                <c:ptCount val="19"/>
                <c:pt idx="0">
                  <c:v>141171</c:v>
                </c:pt>
                <c:pt idx="1">
                  <c:v>143781</c:v>
                </c:pt>
                <c:pt idx="2">
                  <c:v>144585</c:v>
                </c:pt>
                <c:pt idx="3">
                  <c:v>155369</c:v>
                </c:pt>
                <c:pt idx="4">
                  <c:v>191134</c:v>
                </c:pt>
                <c:pt idx="5">
                  <c:v>214570</c:v>
                </c:pt>
                <c:pt idx="6">
                  <c:v>225553</c:v>
                </c:pt>
                <c:pt idx="7">
                  <c:v>217305</c:v>
                </c:pt>
                <c:pt idx="8">
                  <c:v>246689</c:v>
                </c:pt>
                <c:pt idx="9">
                  <c:v>206088</c:v>
                </c:pt>
                <c:pt idx="10">
                  <c:v>190206</c:v>
                </c:pt>
                <c:pt idx="11">
                  <c:v>150117</c:v>
                </c:pt>
                <c:pt idx="12">
                  <c:v>135008</c:v>
                </c:pt>
                <c:pt idx="13">
                  <c:v>248102</c:v>
                </c:pt>
                <c:pt idx="14">
                  <c:v>274957</c:v>
                </c:pt>
                <c:pt idx="15">
                  <c:v>276024</c:v>
                </c:pt>
                <c:pt idx="16">
                  <c:v>286505</c:v>
                </c:pt>
                <c:pt idx="17">
                  <c:v>340247</c:v>
                </c:pt>
                <c:pt idx="18">
                  <c:v>457415</c:v>
                </c:pt>
              </c:numCache>
            </c:numRef>
          </c:val>
          <c:extLst>
            <c:ext xmlns:c16="http://schemas.microsoft.com/office/drawing/2014/chart" uri="{C3380CC4-5D6E-409C-BE32-E72D297353CC}">
              <c16:uniqueId val="{00000000-9021-9D47-9E9A-754A1B610AE0}"/>
            </c:ext>
          </c:extLst>
        </c:ser>
        <c:ser>
          <c:idx val="1"/>
          <c:order val="1"/>
          <c:tx>
            <c:strRef>
              <c:f>data!$O$283</c:f>
              <c:strCache>
                <c:ptCount val="1"/>
                <c:pt idx="0">
                  <c:v>VIEWS</c:v>
                </c:pt>
              </c:strCache>
            </c:strRef>
          </c:tx>
          <c:invertIfNegative val="0"/>
          <c:cat>
            <c:strRef>
              <c:f>data!$A$284:$A$302</c:f>
              <c:strCache>
                <c:ptCount val="19"/>
                <c:pt idx="0">
                  <c:v>FY07</c:v>
                </c:pt>
                <c:pt idx="1">
                  <c:v>FY08</c:v>
                </c:pt>
                <c:pt idx="2">
                  <c:v>FY09</c:v>
                </c:pt>
                <c:pt idx="3">
                  <c:v>FY10</c:v>
                </c:pt>
                <c:pt idx="4">
                  <c:v>FY11</c:v>
                </c:pt>
                <c:pt idx="5">
                  <c:v>FY12</c:v>
                </c:pt>
                <c:pt idx="6">
                  <c:v>FY13</c:v>
                </c:pt>
                <c:pt idx="7">
                  <c:v>FY14</c:v>
                </c:pt>
                <c:pt idx="8">
                  <c:v>FY15</c:v>
                </c:pt>
                <c:pt idx="9">
                  <c:v>FY16</c:v>
                </c:pt>
                <c:pt idx="10">
                  <c:v>FY17</c:v>
                </c:pt>
                <c:pt idx="11">
                  <c:v>FY18</c:v>
                </c:pt>
                <c:pt idx="12">
                  <c:v>FY19</c:v>
                </c:pt>
                <c:pt idx="13">
                  <c:v>FY20</c:v>
                </c:pt>
                <c:pt idx="14">
                  <c:v>FY21</c:v>
                </c:pt>
                <c:pt idx="15">
                  <c:v>FY22</c:v>
                </c:pt>
                <c:pt idx="16">
                  <c:v>FY23</c:v>
                </c:pt>
                <c:pt idx="17">
                  <c:v>FY24</c:v>
                </c:pt>
                <c:pt idx="18">
                  <c:v>FY25</c:v>
                </c:pt>
              </c:strCache>
            </c:strRef>
          </c:cat>
          <c:val>
            <c:numRef>
              <c:f>data!$O$284:$O$302</c:f>
              <c:numCache>
                <c:formatCode>_(* #,##0_);_(* \(#,##0\);_(* "-"??_);_(@_)</c:formatCode>
                <c:ptCount val="19"/>
                <c:pt idx="0">
                  <c:v>1607037</c:v>
                </c:pt>
                <c:pt idx="1">
                  <c:v>1636681</c:v>
                </c:pt>
                <c:pt idx="2">
                  <c:v>3472493</c:v>
                </c:pt>
                <c:pt idx="3">
                  <c:v>5690078</c:v>
                </c:pt>
                <c:pt idx="4">
                  <c:v>7011266</c:v>
                </c:pt>
                <c:pt idx="5">
                  <c:v>7631590</c:v>
                </c:pt>
                <c:pt idx="6">
                  <c:v>9735100</c:v>
                </c:pt>
                <c:pt idx="7">
                  <c:v>10234228</c:v>
                </c:pt>
                <c:pt idx="8">
                  <c:v>6004302</c:v>
                </c:pt>
                <c:pt idx="9">
                  <c:v>2180301</c:v>
                </c:pt>
                <c:pt idx="10">
                  <c:v>1902393</c:v>
                </c:pt>
                <c:pt idx="11">
                  <c:v>2584212</c:v>
                </c:pt>
                <c:pt idx="12">
                  <c:v>1030437</c:v>
                </c:pt>
                <c:pt idx="13">
                  <c:v>1270592</c:v>
                </c:pt>
                <c:pt idx="14">
                  <c:v>1488512</c:v>
                </c:pt>
                <c:pt idx="15">
                  <c:v>1606374</c:v>
                </c:pt>
                <c:pt idx="16">
                  <c:v>896224</c:v>
                </c:pt>
                <c:pt idx="17">
                  <c:v>1356457</c:v>
                </c:pt>
                <c:pt idx="18">
                  <c:v>1253378</c:v>
                </c:pt>
              </c:numCache>
            </c:numRef>
          </c:val>
          <c:extLst>
            <c:ext xmlns:c16="http://schemas.microsoft.com/office/drawing/2014/chart" uri="{C3380CC4-5D6E-409C-BE32-E72D297353CC}">
              <c16:uniqueId val="{00000001-9021-9D47-9E9A-754A1B610AE0}"/>
            </c:ext>
          </c:extLst>
        </c:ser>
        <c:ser>
          <c:idx val="2"/>
          <c:order val="2"/>
          <c:tx>
            <c:strRef>
              <c:f>data!$P$283</c:f>
              <c:strCache>
                <c:ptCount val="1"/>
                <c:pt idx="0">
                  <c:v>VISITORS</c:v>
                </c:pt>
              </c:strCache>
            </c:strRef>
          </c:tx>
          <c:invertIfNegative val="0"/>
          <c:cat>
            <c:strRef>
              <c:f>data!$A$284:$A$302</c:f>
              <c:strCache>
                <c:ptCount val="19"/>
                <c:pt idx="0">
                  <c:v>FY07</c:v>
                </c:pt>
                <c:pt idx="1">
                  <c:v>FY08</c:v>
                </c:pt>
                <c:pt idx="2">
                  <c:v>FY09</c:v>
                </c:pt>
                <c:pt idx="3">
                  <c:v>FY10</c:v>
                </c:pt>
                <c:pt idx="4">
                  <c:v>FY11</c:v>
                </c:pt>
                <c:pt idx="5">
                  <c:v>FY12</c:v>
                </c:pt>
                <c:pt idx="6">
                  <c:v>FY13</c:v>
                </c:pt>
                <c:pt idx="7">
                  <c:v>FY14</c:v>
                </c:pt>
                <c:pt idx="8">
                  <c:v>FY15</c:v>
                </c:pt>
                <c:pt idx="9">
                  <c:v>FY16</c:v>
                </c:pt>
                <c:pt idx="10">
                  <c:v>FY17</c:v>
                </c:pt>
                <c:pt idx="11">
                  <c:v>FY18</c:v>
                </c:pt>
                <c:pt idx="12">
                  <c:v>FY19</c:v>
                </c:pt>
                <c:pt idx="13">
                  <c:v>FY20</c:v>
                </c:pt>
                <c:pt idx="14">
                  <c:v>FY21</c:v>
                </c:pt>
                <c:pt idx="15">
                  <c:v>FY22</c:v>
                </c:pt>
                <c:pt idx="16">
                  <c:v>FY23</c:v>
                </c:pt>
                <c:pt idx="17">
                  <c:v>FY24</c:v>
                </c:pt>
                <c:pt idx="18">
                  <c:v>FY25</c:v>
                </c:pt>
              </c:strCache>
            </c:strRef>
          </c:cat>
          <c:val>
            <c:numRef>
              <c:f>data!$P$284:$P$302</c:f>
              <c:numCache>
                <c:formatCode>_(* #,##0_);_(* \(#,##0\);_(* "-"??_);_(@_)</c:formatCode>
                <c:ptCount val="19"/>
                <c:pt idx="0">
                  <c:v>78948</c:v>
                </c:pt>
                <c:pt idx="1">
                  <c:v>82771</c:v>
                </c:pt>
                <c:pt idx="2">
                  <c:v>80801</c:v>
                </c:pt>
                <c:pt idx="3">
                  <c:v>81529</c:v>
                </c:pt>
                <c:pt idx="4">
                  <c:v>108531</c:v>
                </c:pt>
                <c:pt idx="5">
                  <c:v>120292</c:v>
                </c:pt>
                <c:pt idx="6">
                  <c:v>125907</c:v>
                </c:pt>
                <c:pt idx="7">
                  <c:v>120646</c:v>
                </c:pt>
                <c:pt idx="8">
                  <c:v>141377</c:v>
                </c:pt>
                <c:pt idx="9">
                  <c:v>128457</c:v>
                </c:pt>
                <c:pt idx="10">
                  <c:v>118779</c:v>
                </c:pt>
                <c:pt idx="11">
                  <c:v>93299</c:v>
                </c:pt>
                <c:pt idx="12">
                  <c:v>85292</c:v>
                </c:pt>
                <c:pt idx="13">
                  <c:v>140161</c:v>
                </c:pt>
                <c:pt idx="14">
                  <c:v>190560</c:v>
                </c:pt>
                <c:pt idx="15">
                  <c:v>157952</c:v>
                </c:pt>
                <c:pt idx="16">
                  <c:v>213687</c:v>
                </c:pt>
                <c:pt idx="17">
                  <c:v>219123</c:v>
                </c:pt>
                <c:pt idx="18">
                  <c:v>181990</c:v>
                </c:pt>
              </c:numCache>
            </c:numRef>
          </c:val>
          <c:extLst>
            <c:ext xmlns:c16="http://schemas.microsoft.com/office/drawing/2014/chart" uri="{C3380CC4-5D6E-409C-BE32-E72D297353CC}">
              <c16:uniqueId val="{00000002-9021-9D47-9E9A-754A1B610AE0}"/>
            </c:ext>
          </c:extLst>
        </c:ser>
        <c:dLbls>
          <c:showLegendKey val="0"/>
          <c:showVal val="0"/>
          <c:showCatName val="0"/>
          <c:showSerName val="0"/>
          <c:showPercent val="0"/>
          <c:showBubbleSize val="0"/>
        </c:dLbls>
        <c:gapWidth val="219"/>
        <c:overlap val="-27"/>
        <c:axId val="411528112"/>
        <c:axId val="411528656"/>
      </c:barChart>
      <c:catAx>
        <c:axId val="411528112"/>
        <c:scaling>
          <c:orientation val="minMax"/>
        </c:scaling>
        <c:delete val="0"/>
        <c:axPos val="b"/>
        <c:title>
          <c:tx>
            <c:rich>
              <a:bodyPr rot="0" spcFirstLastPara="1" vertOverflow="ellipsis" vert="horz" wrap="square" anchor="ctr" anchorCtr="1"/>
              <a:lstStyle/>
              <a:p>
                <a:pPr>
                  <a:defRPr sz="1200" b="1" i="0" u="none" strike="noStrike" kern="1200" baseline="0">
                    <a:solidFill>
                      <a:sysClr val="windowText" lastClr="000000"/>
                    </a:solidFill>
                    <a:latin typeface="+mn-lt"/>
                    <a:ea typeface="+mn-ea"/>
                    <a:cs typeface="+mn-cs"/>
                  </a:defRPr>
                </a:pPr>
                <a:r>
                  <a:rPr lang="en-US" sz="1200" b="1">
                    <a:solidFill>
                      <a:sysClr val="windowText" lastClr="000000"/>
                    </a:solidFill>
                  </a:rPr>
                  <a:t>Fiscal Year</a:t>
                </a:r>
              </a:p>
            </c:rich>
          </c:tx>
          <c:layout>
            <c:manualLayout>
              <c:xMode val="edge"/>
              <c:yMode val="edge"/>
              <c:x val="0.52015726535887796"/>
              <c:y val="0.92867232948051204"/>
            </c:manualLayout>
          </c:layout>
          <c:overlay val="0"/>
          <c:spPr>
            <a:noFill/>
            <a:ln>
              <a:noFill/>
            </a:ln>
            <a:effectLst/>
          </c:spPr>
        </c:title>
        <c:numFmt formatCode="General" sourceLinked="1"/>
        <c:majorTickMark val="out"/>
        <c:minorTickMark val="none"/>
        <c:tickLblPos val="nextTo"/>
        <c:spPr>
          <a:noFill/>
          <a:ln w="12700" cap="flat" cmpd="sng" algn="ctr">
            <a:solidFill>
              <a:schemeClr val="bg1">
                <a:lumMod val="50000"/>
              </a:schemeClr>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en-US"/>
          </a:p>
        </c:txPr>
        <c:crossAx val="411528656"/>
        <c:crosses val="autoZero"/>
        <c:auto val="1"/>
        <c:lblAlgn val="ctr"/>
        <c:lblOffset val="100"/>
        <c:noMultiLvlLbl val="0"/>
      </c:catAx>
      <c:valAx>
        <c:axId val="411528656"/>
        <c:scaling>
          <c:orientation val="minMax"/>
        </c:scaling>
        <c:delete val="0"/>
        <c:axPos val="l"/>
        <c:majorGridlines>
          <c:spPr>
            <a:ln w="9525" cap="flat" cmpd="sng" algn="ctr">
              <a:solidFill>
                <a:schemeClr val="bg1">
                  <a:lumMod val="50000"/>
                </a:schemeClr>
              </a:solidFill>
              <a:round/>
            </a:ln>
            <a:effectLst/>
          </c:spPr>
        </c:majorGridlines>
        <c:title>
          <c:tx>
            <c:rich>
              <a:bodyPr rot="-5400000" spcFirstLastPara="1" vertOverflow="ellipsis" vert="horz" wrap="square" anchor="ctr" anchorCtr="1"/>
              <a:lstStyle/>
              <a:p>
                <a:pPr>
                  <a:defRPr sz="1200" b="1" i="0" u="none" strike="noStrike" kern="1200" baseline="0">
                    <a:solidFill>
                      <a:sysClr val="windowText" lastClr="000000"/>
                    </a:solidFill>
                    <a:latin typeface="+mn-lt"/>
                    <a:ea typeface="+mn-ea"/>
                    <a:cs typeface="+mn-cs"/>
                  </a:defRPr>
                </a:pPr>
                <a:r>
                  <a:rPr lang="en-US" sz="1200" b="1">
                    <a:solidFill>
                      <a:sysClr val="windowText" lastClr="000000"/>
                    </a:solidFill>
                  </a:rPr>
                  <a:t>Number </a:t>
                </a:r>
              </a:p>
            </c:rich>
          </c:tx>
          <c:layout>
            <c:manualLayout>
              <c:xMode val="edge"/>
              <c:yMode val="edge"/>
              <c:x val="3.3999234192006499E-3"/>
              <c:y val="0.346614823753157"/>
            </c:manualLayout>
          </c:layout>
          <c:overlay val="0"/>
          <c:spPr>
            <a:noFill/>
            <a:ln>
              <a:noFill/>
            </a:ln>
            <a:effectLst/>
          </c:spPr>
        </c:title>
        <c:numFmt formatCode="#,##0" sourceLinked="0"/>
        <c:majorTickMark val="out"/>
        <c:minorTickMark val="none"/>
        <c:tickLblPos val="nextTo"/>
        <c:spPr>
          <a:noFill/>
          <a:ln>
            <a:solidFill>
              <a:schemeClr val="bg1">
                <a:lumMod val="50000"/>
              </a:schemeClr>
            </a:solid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en-US"/>
          </a:p>
        </c:txPr>
        <c:crossAx val="411528112"/>
        <c:crosses val="autoZero"/>
        <c:crossBetween val="between"/>
      </c:valAx>
      <c:spPr>
        <a:noFill/>
        <a:ln>
          <a:solidFill>
            <a:schemeClr val="bg1">
              <a:lumMod val="50000"/>
            </a:schemeClr>
          </a:solidFill>
        </a:ln>
        <a:effectLst/>
      </c:spPr>
    </c:plotArea>
    <c:legend>
      <c:legendPos val="b"/>
      <c:layout>
        <c:manualLayout>
          <c:xMode val="edge"/>
          <c:yMode val="edge"/>
          <c:x val="0.34775130045352498"/>
          <c:y val="0.167898975762826"/>
          <c:w val="0.43458209103110301"/>
          <c:h val="7.0069702211775803E-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bg1">
          <a:lumMod val="50000"/>
        </a:schemeClr>
      </a:solidFill>
      <a:round/>
    </a:ln>
    <a:effectLst/>
  </c:spPr>
  <c:txPr>
    <a:bodyPr/>
    <a:lstStyle/>
    <a:p>
      <a:pPr>
        <a:defRPr/>
      </a:pPr>
      <a:endParaRPr lang="en-US"/>
    </a:p>
  </c:txPr>
  <c:printSettings>
    <c:headerFooter/>
    <c:pageMargins b="0.75" l="0.7" r="0.7" t="0.75" header="0.3" footer="0.3"/>
    <c:pageSetup/>
  </c:printSettings>
  <c:userShapes r:id="rId1"/>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a:latin typeface="+mn-lt"/>
                <a:cs typeface="Arial" panose="020B0604020202020204" pitchFamily="34" charset="0"/>
              </a:defRPr>
            </a:pPr>
            <a:r>
              <a:rPr lang="en-US"/>
              <a:t>GHRC Multi-Year Total Archive Volume Trend</a:t>
            </a:r>
          </a:p>
        </c:rich>
      </c:tx>
      <c:layout>
        <c:manualLayout>
          <c:xMode val="edge"/>
          <c:yMode val="edge"/>
          <c:x val="0.223544133657093"/>
          <c:y val="3.8412164179890997E-2"/>
        </c:manualLayout>
      </c:layout>
      <c:overlay val="0"/>
    </c:title>
    <c:autoTitleDeleted val="0"/>
    <c:plotArea>
      <c:layout>
        <c:manualLayout>
          <c:layoutTarget val="inner"/>
          <c:xMode val="edge"/>
          <c:yMode val="edge"/>
          <c:x val="0.156188786714438"/>
          <c:y val="0.18228668594254499"/>
          <c:w val="0.80487043883359"/>
          <c:h val="0.65076746334831104"/>
        </c:manualLayout>
      </c:layout>
      <c:barChart>
        <c:barDir val="col"/>
        <c:grouping val="clustered"/>
        <c:varyColors val="0"/>
        <c:ser>
          <c:idx val="0"/>
          <c:order val="0"/>
          <c:tx>
            <c:strRef>
              <c:f>data!$G$156</c:f>
              <c:strCache>
                <c:ptCount val="1"/>
                <c:pt idx="0">
                  <c:v>GHRC</c:v>
                </c:pt>
              </c:strCache>
            </c:strRef>
          </c:tx>
          <c:spPr>
            <a:solidFill>
              <a:schemeClr val="accent2">
                <a:lumMod val="75000"/>
              </a:schemeClr>
            </a:solidFill>
          </c:spPr>
          <c:invertIfNegative val="0"/>
          <c:cat>
            <c:strRef>
              <c:f>data!$A$157:$A$174</c:f>
              <c:strCache>
                <c:ptCount val="18"/>
                <c:pt idx="0">
                  <c:v>FY08</c:v>
                </c:pt>
                <c:pt idx="1">
                  <c:v>FY09</c:v>
                </c:pt>
                <c:pt idx="2">
                  <c:v>FY10</c:v>
                </c:pt>
                <c:pt idx="3">
                  <c:v>FY11</c:v>
                </c:pt>
                <c:pt idx="4">
                  <c:v>FY12</c:v>
                </c:pt>
                <c:pt idx="5">
                  <c:v>FY13</c:v>
                </c:pt>
                <c:pt idx="6">
                  <c:v>FY14</c:v>
                </c:pt>
                <c:pt idx="7">
                  <c:v>FY15</c:v>
                </c:pt>
                <c:pt idx="8">
                  <c:v>FY16</c:v>
                </c:pt>
                <c:pt idx="9">
                  <c:v>FY17</c:v>
                </c:pt>
                <c:pt idx="10">
                  <c:v>FY18</c:v>
                </c:pt>
                <c:pt idx="11">
                  <c:v>FY19</c:v>
                </c:pt>
                <c:pt idx="12">
                  <c:v>FY20</c:v>
                </c:pt>
                <c:pt idx="13">
                  <c:v>FY21</c:v>
                </c:pt>
                <c:pt idx="14">
                  <c:v>FY22</c:v>
                </c:pt>
                <c:pt idx="15">
                  <c:v>FY23</c:v>
                </c:pt>
                <c:pt idx="16">
                  <c:v>FY24</c:v>
                </c:pt>
                <c:pt idx="17">
                  <c:v>FY25</c:v>
                </c:pt>
              </c:strCache>
            </c:strRef>
          </c:cat>
          <c:val>
            <c:numRef>
              <c:f>data!$G$157:$G$174</c:f>
              <c:numCache>
                <c:formatCode>_(* #,##0.00_);_(* \(#,##0.00\);_(* "-"??_);_(@_)</c:formatCode>
                <c:ptCount val="18"/>
                <c:pt idx="0">
                  <c:v>3.435041015625</c:v>
                </c:pt>
                <c:pt idx="1">
                  <c:v>5.3330000000000002</c:v>
                </c:pt>
                <c:pt idx="2">
                  <c:v>6.8242343749999996</c:v>
                </c:pt>
                <c:pt idx="3">
                  <c:v>6.4231972656250003</c:v>
                </c:pt>
                <c:pt idx="4">
                  <c:v>7.0876269531249996</c:v>
                </c:pt>
                <c:pt idx="5">
                  <c:v>9.5370605468750007</c:v>
                </c:pt>
                <c:pt idx="6">
                  <c:v>8.8079055354310096</c:v>
                </c:pt>
                <c:pt idx="7">
                  <c:v>9.8950976562499999</c:v>
                </c:pt>
                <c:pt idx="8">
                  <c:v>13.584150390625</c:v>
                </c:pt>
                <c:pt idx="9">
                  <c:v>16.097031250000001</c:v>
                </c:pt>
                <c:pt idx="10">
                  <c:v>27.6</c:v>
                </c:pt>
                <c:pt idx="11">
                  <c:v>32.299999999999997</c:v>
                </c:pt>
                <c:pt idx="12">
                  <c:v>43.3</c:v>
                </c:pt>
                <c:pt idx="13">
                  <c:v>67.960849609375003</c:v>
                </c:pt>
                <c:pt idx="14">
                  <c:v>84.354914600000001</c:v>
                </c:pt>
                <c:pt idx="15">
                  <c:v>94.284330360544914</c:v>
                </c:pt>
                <c:pt idx="16">
                  <c:v>424.31471679687502</c:v>
                </c:pt>
                <c:pt idx="17">
                  <c:v>491.69114257812498</c:v>
                </c:pt>
              </c:numCache>
            </c:numRef>
          </c:val>
          <c:extLst>
            <c:ext xmlns:c16="http://schemas.microsoft.com/office/drawing/2014/chart" uri="{C3380CC4-5D6E-409C-BE32-E72D297353CC}">
              <c16:uniqueId val="{00000000-4054-E04B-B4B8-AB65BDD6B89F}"/>
            </c:ext>
          </c:extLst>
        </c:ser>
        <c:dLbls>
          <c:showLegendKey val="0"/>
          <c:showVal val="0"/>
          <c:showCatName val="0"/>
          <c:showSerName val="0"/>
          <c:showPercent val="0"/>
          <c:showBubbleSize val="0"/>
        </c:dLbls>
        <c:gapWidth val="150"/>
        <c:axId val="412582880"/>
        <c:axId val="412580160"/>
      </c:barChart>
      <c:catAx>
        <c:axId val="412582880"/>
        <c:scaling>
          <c:orientation val="minMax"/>
        </c:scaling>
        <c:delete val="0"/>
        <c:axPos val="b"/>
        <c:title>
          <c:tx>
            <c:rich>
              <a:bodyPr/>
              <a:lstStyle/>
              <a:p>
                <a:pPr>
                  <a:defRPr sz="1200"/>
                </a:pPr>
                <a:r>
                  <a:rPr lang="en-US" sz="1200"/>
                  <a:t>Fiscal Year</a:t>
                </a:r>
              </a:p>
            </c:rich>
          </c:tx>
          <c:layout>
            <c:manualLayout>
              <c:xMode val="edge"/>
              <c:yMode val="edge"/>
              <c:x val="0.49999567596515698"/>
              <c:y val="0.91411120752953801"/>
            </c:manualLayout>
          </c:layout>
          <c:overlay val="0"/>
        </c:title>
        <c:numFmt formatCode="General" sourceLinked="0"/>
        <c:majorTickMark val="out"/>
        <c:minorTickMark val="none"/>
        <c:tickLblPos val="nextTo"/>
        <c:txPr>
          <a:bodyPr/>
          <a:lstStyle/>
          <a:p>
            <a:pPr>
              <a:defRPr sz="1200" b="0" baseline="0">
                <a:latin typeface="+mn-lt"/>
                <a:cs typeface="Arial" panose="020B0604020202020204" pitchFamily="34" charset="0"/>
              </a:defRPr>
            </a:pPr>
            <a:endParaRPr lang="en-US"/>
          </a:p>
        </c:txPr>
        <c:crossAx val="412580160"/>
        <c:crosses val="autoZero"/>
        <c:auto val="1"/>
        <c:lblAlgn val="ctr"/>
        <c:lblOffset val="100"/>
        <c:noMultiLvlLbl val="0"/>
      </c:catAx>
      <c:valAx>
        <c:axId val="412580160"/>
        <c:scaling>
          <c:orientation val="minMax"/>
        </c:scaling>
        <c:delete val="0"/>
        <c:axPos val="l"/>
        <c:majorGridlines/>
        <c:title>
          <c:tx>
            <c:rich>
              <a:bodyPr/>
              <a:lstStyle/>
              <a:p>
                <a:pPr>
                  <a:defRPr sz="1200"/>
                </a:pPr>
                <a:r>
                  <a:rPr lang="en-US" sz="1200"/>
                  <a:t>Volume (TB)</a:t>
                </a:r>
              </a:p>
            </c:rich>
          </c:tx>
          <c:layout>
            <c:manualLayout>
              <c:xMode val="edge"/>
              <c:yMode val="edge"/>
              <c:x val="1.62849872773537E-2"/>
              <c:y val="0.34790157257870402"/>
            </c:manualLayout>
          </c:layout>
          <c:overlay val="0"/>
        </c:title>
        <c:numFmt formatCode="#,##0" sourceLinked="0"/>
        <c:majorTickMark val="out"/>
        <c:minorTickMark val="none"/>
        <c:tickLblPos val="nextTo"/>
        <c:spPr>
          <a:ln>
            <a:solidFill>
              <a:schemeClr val="bg1">
                <a:lumMod val="50000"/>
              </a:schemeClr>
            </a:solidFill>
          </a:ln>
        </c:spPr>
        <c:txPr>
          <a:bodyPr/>
          <a:lstStyle/>
          <a:p>
            <a:pPr>
              <a:defRPr sz="1200">
                <a:latin typeface="+mn-lt"/>
                <a:cs typeface="Arial" panose="020B0604020202020204" pitchFamily="34" charset="0"/>
              </a:defRPr>
            </a:pPr>
            <a:endParaRPr lang="en-US"/>
          </a:p>
        </c:txPr>
        <c:crossAx val="412582880"/>
        <c:crosses val="autoZero"/>
        <c:crossBetween val="between"/>
      </c:valAx>
      <c:spPr>
        <a:ln>
          <a:solidFill>
            <a:schemeClr val="bg1">
              <a:lumMod val="50000"/>
            </a:schemeClr>
          </a:solidFill>
          <a:prstDash val="solid"/>
        </a:ln>
      </c:spPr>
    </c:plotArea>
    <c:plotVisOnly val="1"/>
    <c:dispBlanksAs val="gap"/>
    <c:showDLblsOverMax val="0"/>
  </c:chart>
  <c:printSettings>
    <c:headerFooter/>
    <c:pageMargins b="0.750000000000004" l="0.70000000000000095" r="0.70000000000000095" t="0.750000000000004"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053775900532262"/>
          <c:y val="0.14901943669040921"/>
          <c:w val="0.86070507843748301"/>
          <c:h val="0.68891197860574704"/>
        </c:manualLayout>
      </c:layout>
      <c:lineChart>
        <c:grouping val="standard"/>
        <c:varyColors val="0"/>
        <c:ser>
          <c:idx val="0"/>
          <c:order val="0"/>
          <c:tx>
            <c:strRef>
              <c:f>data!$G$176</c:f>
              <c:strCache>
                <c:ptCount val="1"/>
                <c:pt idx="0">
                  <c:v>GHRC</c:v>
                </c:pt>
              </c:strCache>
            </c:strRef>
          </c:tx>
          <c:marker>
            <c:symbol val="none"/>
          </c:marker>
          <c:cat>
            <c:strRef>
              <c:f>data!$A$177:$A$191</c:f>
              <c:strCache>
                <c:ptCount val="15"/>
                <c:pt idx="0">
                  <c:v>FY08</c:v>
                </c:pt>
                <c:pt idx="1">
                  <c:v>FY09</c:v>
                </c:pt>
                <c:pt idx="2">
                  <c:v>FY10</c:v>
                </c:pt>
                <c:pt idx="3">
                  <c:v>FY11</c:v>
                </c:pt>
                <c:pt idx="4">
                  <c:v>FY12</c:v>
                </c:pt>
                <c:pt idx="5">
                  <c:v>FY13</c:v>
                </c:pt>
                <c:pt idx="6">
                  <c:v>FY14</c:v>
                </c:pt>
                <c:pt idx="7">
                  <c:v>FY15</c:v>
                </c:pt>
                <c:pt idx="8">
                  <c:v>FY16</c:v>
                </c:pt>
                <c:pt idx="9">
                  <c:v>FY17</c:v>
                </c:pt>
                <c:pt idx="10">
                  <c:v>FY18</c:v>
                </c:pt>
                <c:pt idx="11">
                  <c:v>FY19</c:v>
                </c:pt>
                <c:pt idx="12">
                  <c:v>FY20</c:v>
                </c:pt>
                <c:pt idx="13">
                  <c:v>FY21</c:v>
                </c:pt>
                <c:pt idx="14">
                  <c:v>FY22</c:v>
                </c:pt>
              </c:strCache>
            </c:strRef>
          </c:cat>
          <c:val>
            <c:numRef>
              <c:f>data!$G$177:$G$191</c:f>
              <c:numCache>
                <c:formatCode>0.0%</c:formatCode>
                <c:ptCount val="15"/>
                <c:pt idx="1">
                  <c:v>0.15365489806066635</c:v>
                </c:pt>
                <c:pt idx="2">
                  <c:v>0.1547310900201323</c:v>
                </c:pt>
                <c:pt idx="3">
                  <c:v>0.18175937904269082</c:v>
                </c:pt>
                <c:pt idx="4">
                  <c:v>0.18018433179723503</c:v>
                </c:pt>
                <c:pt idx="5">
                  <c:v>0.20057361376673041</c:v>
                </c:pt>
                <c:pt idx="6">
                  <c:v>0.21420784883720931</c:v>
                </c:pt>
                <c:pt idx="7">
                  <c:v>0.19592668024439919</c:v>
                </c:pt>
                <c:pt idx="8">
                  <c:v>0.10375166002656043</c:v>
                </c:pt>
                <c:pt idx="9">
                  <c:v>0.15262592428742969</c:v>
                </c:pt>
                <c:pt idx="10">
                  <c:v>0.25718252052148721</c:v>
                </c:pt>
                <c:pt idx="11">
                  <c:v>0.29913370998116762</c:v>
                </c:pt>
              </c:numCache>
            </c:numRef>
          </c:val>
          <c:smooth val="0"/>
          <c:extLst>
            <c:ext xmlns:c16="http://schemas.microsoft.com/office/drawing/2014/chart" uri="{C3380CC4-5D6E-409C-BE32-E72D297353CC}">
              <c16:uniqueId val="{00000000-E134-D647-8CBF-3858311E9406}"/>
            </c:ext>
          </c:extLst>
        </c:ser>
        <c:dLbls>
          <c:showLegendKey val="0"/>
          <c:showVal val="0"/>
          <c:showCatName val="0"/>
          <c:showSerName val="0"/>
          <c:showPercent val="0"/>
          <c:showBubbleSize val="0"/>
        </c:dLbls>
        <c:smooth val="0"/>
        <c:axId val="412587232"/>
        <c:axId val="412581248"/>
      </c:lineChart>
      <c:catAx>
        <c:axId val="412587232"/>
        <c:scaling>
          <c:orientation val="minMax"/>
        </c:scaling>
        <c:delete val="0"/>
        <c:axPos val="b"/>
        <c:title>
          <c:tx>
            <c:rich>
              <a:bodyPr/>
              <a:lstStyle/>
              <a:p>
                <a:pPr>
                  <a:defRPr sz="1200"/>
                </a:pPr>
                <a:r>
                  <a:rPr lang="en-US" sz="1200"/>
                  <a:t>Fiscal Year</a:t>
                </a:r>
              </a:p>
            </c:rich>
          </c:tx>
          <c:layout>
            <c:manualLayout>
              <c:xMode val="edge"/>
              <c:yMode val="edge"/>
              <c:x val="0.48422756091902203"/>
              <c:y val="0.91945592070692705"/>
            </c:manualLayout>
          </c:layout>
          <c:overlay val="0"/>
        </c:title>
        <c:numFmt formatCode="General" sourceLinked="0"/>
        <c:majorTickMark val="out"/>
        <c:minorTickMark val="none"/>
        <c:tickLblPos val="nextTo"/>
        <c:txPr>
          <a:bodyPr/>
          <a:lstStyle/>
          <a:p>
            <a:pPr>
              <a:defRPr sz="1200" b="0" baseline="0">
                <a:latin typeface="+mn-lt"/>
                <a:cs typeface="Arial" panose="020B0604020202020204" pitchFamily="34" charset="0"/>
              </a:defRPr>
            </a:pPr>
            <a:endParaRPr lang="en-US"/>
          </a:p>
        </c:txPr>
        <c:crossAx val="412581248"/>
        <c:crosses val="autoZero"/>
        <c:auto val="1"/>
        <c:lblAlgn val="ctr"/>
        <c:lblOffset val="100"/>
        <c:noMultiLvlLbl val="0"/>
      </c:catAx>
      <c:valAx>
        <c:axId val="412581248"/>
        <c:scaling>
          <c:orientation val="minMax"/>
        </c:scaling>
        <c:delete val="0"/>
        <c:axPos val="l"/>
        <c:majorGridlines/>
        <c:title>
          <c:tx>
            <c:rich>
              <a:bodyPr/>
              <a:lstStyle/>
              <a:p>
                <a:pPr>
                  <a:defRPr sz="1200"/>
                </a:pPr>
                <a:r>
                  <a:rPr lang="en-US" sz="1200"/>
                  <a:t>Percentage</a:t>
                </a:r>
              </a:p>
            </c:rich>
          </c:tx>
          <c:layout>
            <c:manualLayout>
              <c:xMode val="edge"/>
              <c:yMode val="edge"/>
              <c:x val="4.8473441747445998E-3"/>
              <c:y val="0.36539536980201598"/>
            </c:manualLayout>
          </c:layout>
          <c:overlay val="0"/>
        </c:title>
        <c:numFmt formatCode="0%" sourceLinked="0"/>
        <c:majorTickMark val="out"/>
        <c:minorTickMark val="none"/>
        <c:tickLblPos val="nextTo"/>
        <c:txPr>
          <a:bodyPr/>
          <a:lstStyle/>
          <a:p>
            <a:pPr>
              <a:defRPr sz="1200">
                <a:solidFill>
                  <a:sysClr val="windowText" lastClr="000000"/>
                </a:solidFill>
                <a:latin typeface="+mn-lt"/>
                <a:cs typeface="Arial" panose="020B0604020202020204" pitchFamily="34" charset="0"/>
              </a:defRPr>
            </a:pPr>
            <a:endParaRPr lang="en-US"/>
          </a:p>
        </c:txPr>
        <c:crossAx val="412587232"/>
        <c:crosses val="autoZero"/>
        <c:crossBetween val="between"/>
      </c:valAx>
      <c:spPr>
        <a:ln>
          <a:solidFill>
            <a:schemeClr val="bg1">
              <a:lumMod val="50000"/>
            </a:schemeClr>
          </a:solidFill>
          <a:prstDash val="solid"/>
        </a:ln>
      </c:spPr>
    </c:plotArea>
    <c:plotVisOnly val="1"/>
    <c:dispBlanksAs val="gap"/>
    <c:showDLblsOverMax val="0"/>
  </c:chart>
  <c:printSettings>
    <c:headerFooter/>
    <c:pageMargins b="0.750000000000004" l="0.70000000000000095" r="0.70000000000000095" t="0.750000000000004" header="0.3" footer="0.3"/>
    <c:pageSetup/>
  </c:printSettings>
  <c:userShapes r:id="rId1"/>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a:latin typeface="+mn-lt"/>
                <a:cs typeface="Arial" panose="020B0604020202020204" pitchFamily="34" charset="0"/>
              </a:defRPr>
            </a:pPr>
            <a:r>
              <a:rPr lang="en-US"/>
              <a:t>GHRC Multi-Year Product Distribution Trend</a:t>
            </a:r>
          </a:p>
        </c:rich>
      </c:tx>
      <c:layout>
        <c:manualLayout>
          <c:xMode val="edge"/>
          <c:yMode val="edge"/>
          <c:x val="0.219374642226661"/>
          <c:y val="4.2874122560153598E-2"/>
        </c:manualLayout>
      </c:layout>
      <c:overlay val="0"/>
    </c:title>
    <c:autoTitleDeleted val="0"/>
    <c:plotArea>
      <c:layout>
        <c:manualLayout>
          <c:layoutTarget val="inner"/>
          <c:xMode val="edge"/>
          <c:yMode val="edge"/>
          <c:x val="0.113107657173634"/>
          <c:y val="0.18225294239347301"/>
          <c:w val="0.85726272307204099"/>
          <c:h val="0.65529307668611403"/>
        </c:manualLayout>
      </c:layout>
      <c:barChart>
        <c:barDir val="col"/>
        <c:grouping val="clustered"/>
        <c:varyColors val="0"/>
        <c:ser>
          <c:idx val="0"/>
          <c:order val="0"/>
          <c:tx>
            <c:strRef>
              <c:f>Summary_data!$I$21</c:f>
              <c:strCache>
                <c:ptCount val="1"/>
                <c:pt idx="0">
                  <c:v>GHRC</c:v>
                </c:pt>
              </c:strCache>
            </c:strRef>
          </c:tx>
          <c:invertIfNegative val="0"/>
          <c:cat>
            <c:strRef>
              <c:f>Summary_data!$C$22:$C$40</c:f>
              <c:strCache>
                <c:ptCount val="19"/>
                <c:pt idx="0">
                  <c:v>FY07</c:v>
                </c:pt>
                <c:pt idx="1">
                  <c:v>FY08</c:v>
                </c:pt>
                <c:pt idx="2">
                  <c:v>FY09</c:v>
                </c:pt>
                <c:pt idx="3">
                  <c:v>FY10</c:v>
                </c:pt>
                <c:pt idx="4">
                  <c:v>FY11</c:v>
                </c:pt>
                <c:pt idx="5">
                  <c:v>FY12</c:v>
                </c:pt>
                <c:pt idx="6">
                  <c:v>FY13</c:v>
                </c:pt>
                <c:pt idx="7">
                  <c:v>FY14</c:v>
                </c:pt>
                <c:pt idx="8">
                  <c:v>FY15</c:v>
                </c:pt>
                <c:pt idx="9">
                  <c:v>FY16</c:v>
                </c:pt>
                <c:pt idx="10">
                  <c:v>FY17</c:v>
                </c:pt>
                <c:pt idx="11">
                  <c:v>FY18</c:v>
                </c:pt>
                <c:pt idx="12">
                  <c:v>FY19</c:v>
                </c:pt>
                <c:pt idx="13">
                  <c:v>FY20</c:v>
                </c:pt>
                <c:pt idx="14">
                  <c:v>FY21</c:v>
                </c:pt>
                <c:pt idx="15">
                  <c:v>FY22</c:v>
                </c:pt>
                <c:pt idx="16">
                  <c:v>FY23</c:v>
                </c:pt>
                <c:pt idx="17">
                  <c:v>FY24</c:v>
                </c:pt>
                <c:pt idx="18">
                  <c:v>FY25</c:v>
                </c:pt>
              </c:strCache>
            </c:strRef>
          </c:cat>
          <c:val>
            <c:numRef>
              <c:f>Summary_data!$I$22:$I$40</c:f>
              <c:numCache>
                <c:formatCode>_(* #,##0.0_);_(* \(#,##0.0\);_(* "-"??_);_(@_)</c:formatCode>
                <c:ptCount val="19"/>
                <c:pt idx="0">
                  <c:v>0</c:v>
                </c:pt>
                <c:pt idx="1">
                  <c:v>10.177527</c:v>
                </c:pt>
                <c:pt idx="2">
                  <c:v>5.6774750000000003</c:v>
                </c:pt>
                <c:pt idx="3">
                  <c:v>0.65940500000000002</c:v>
                </c:pt>
                <c:pt idx="4">
                  <c:v>0.72013300000000002</c:v>
                </c:pt>
                <c:pt idx="5">
                  <c:v>0.79108500000000004</c:v>
                </c:pt>
                <c:pt idx="6">
                  <c:v>4.4349480000000003</c:v>
                </c:pt>
                <c:pt idx="7">
                  <c:v>4.4983519999999997</c:v>
                </c:pt>
                <c:pt idx="8">
                  <c:v>6.3843249999999996</c:v>
                </c:pt>
                <c:pt idx="9">
                  <c:v>3.9329890000000001</c:v>
                </c:pt>
                <c:pt idx="10">
                  <c:v>6.8701800000000004</c:v>
                </c:pt>
                <c:pt idx="11">
                  <c:v>7.1144410000000002</c:v>
                </c:pt>
                <c:pt idx="12">
                  <c:v>76.927700999999999</c:v>
                </c:pt>
                <c:pt idx="13">
                  <c:v>8.3393150000000009</c:v>
                </c:pt>
                <c:pt idx="14">
                  <c:v>13.966144</c:v>
                </c:pt>
                <c:pt idx="15">
                  <c:v>10.362462000000001</c:v>
                </c:pt>
                <c:pt idx="16">
                  <c:v>4.4294929999999999</c:v>
                </c:pt>
                <c:pt idx="17">
                  <c:v>5.0195080000000001</c:v>
                </c:pt>
                <c:pt idx="18">
                  <c:v>16.489101999999999</c:v>
                </c:pt>
              </c:numCache>
            </c:numRef>
          </c:val>
          <c:extLst>
            <c:ext xmlns:c16="http://schemas.microsoft.com/office/drawing/2014/chart" uri="{C3380CC4-5D6E-409C-BE32-E72D297353CC}">
              <c16:uniqueId val="{00000000-CFE5-F341-9DB2-A771BC20CD7F}"/>
            </c:ext>
          </c:extLst>
        </c:ser>
        <c:dLbls>
          <c:showLegendKey val="0"/>
          <c:showVal val="0"/>
          <c:showCatName val="0"/>
          <c:showSerName val="0"/>
          <c:showPercent val="0"/>
          <c:showBubbleSize val="0"/>
        </c:dLbls>
        <c:gapWidth val="150"/>
        <c:axId val="412580704"/>
        <c:axId val="412591040"/>
      </c:barChart>
      <c:catAx>
        <c:axId val="412580704"/>
        <c:scaling>
          <c:orientation val="minMax"/>
        </c:scaling>
        <c:delete val="0"/>
        <c:axPos val="b"/>
        <c:title>
          <c:tx>
            <c:rich>
              <a:bodyPr/>
              <a:lstStyle/>
              <a:p>
                <a:pPr>
                  <a:defRPr sz="1200"/>
                </a:pPr>
                <a:r>
                  <a:rPr lang="en-US" sz="1200"/>
                  <a:t>Fiscal Year</a:t>
                </a:r>
              </a:p>
            </c:rich>
          </c:tx>
          <c:layout>
            <c:manualLayout>
              <c:xMode val="edge"/>
              <c:yMode val="edge"/>
              <c:x val="0.51269424232162897"/>
              <c:y val="0.91856945601153805"/>
            </c:manualLayout>
          </c:layout>
          <c:overlay val="0"/>
        </c:title>
        <c:numFmt formatCode="General" sourceLinked="0"/>
        <c:majorTickMark val="out"/>
        <c:minorTickMark val="none"/>
        <c:tickLblPos val="nextTo"/>
        <c:txPr>
          <a:bodyPr/>
          <a:lstStyle/>
          <a:p>
            <a:pPr>
              <a:defRPr sz="1200" b="0" baseline="0">
                <a:latin typeface="+mn-lt"/>
                <a:cs typeface="Arial" panose="020B0604020202020204" pitchFamily="34" charset="0"/>
              </a:defRPr>
            </a:pPr>
            <a:endParaRPr lang="en-US"/>
          </a:p>
        </c:txPr>
        <c:crossAx val="412591040"/>
        <c:crosses val="autoZero"/>
        <c:auto val="1"/>
        <c:lblAlgn val="ctr"/>
        <c:lblOffset val="100"/>
        <c:noMultiLvlLbl val="0"/>
      </c:catAx>
      <c:valAx>
        <c:axId val="412591040"/>
        <c:scaling>
          <c:orientation val="minMax"/>
        </c:scaling>
        <c:delete val="0"/>
        <c:axPos val="l"/>
        <c:majorGridlines/>
        <c:title>
          <c:tx>
            <c:rich>
              <a:bodyPr/>
              <a:lstStyle/>
              <a:p>
                <a:pPr>
                  <a:defRPr sz="1200"/>
                </a:pPr>
                <a:r>
                  <a:rPr lang="en-US" sz="1200"/>
                  <a:t>Product Distributed (Millions)</a:t>
                </a:r>
              </a:p>
            </c:rich>
          </c:tx>
          <c:layout>
            <c:manualLayout>
              <c:xMode val="edge"/>
              <c:yMode val="edge"/>
              <c:x val="1.6285028493567399E-2"/>
              <c:y val="0.17328868888728299"/>
            </c:manualLayout>
          </c:layout>
          <c:overlay val="0"/>
        </c:title>
        <c:numFmt formatCode="#,##0" sourceLinked="0"/>
        <c:majorTickMark val="out"/>
        <c:minorTickMark val="none"/>
        <c:tickLblPos val="nextTo"/>
        <c:spPr>
          <a:ln>
            <a:solidFill>
              <a:schemeClr val="bg1">
                <a:lumMod val="50000"/>
              </a:schemeClr>
            </a:solidFill>
          </a:ln>
        </c:spPr>
        <c:txPr>
          <a:bodyPr/>
          <a:lstStyle/>
          <a:p>
            <a:pPr>
              <a:defRPr sz="1200">
                <a:latin typeface="+mn-lt"/>
                <a:cs typeface="Arial" panose="020B0604020202020204" pitchFamily="34" charset="0"/>
              </a:defRPr>
            </a:pPr>
            <a:endParaRPr lang="en-US"/>
          </a:p>
        </c:txPr>
        <c:crossAx val="412580704"/>
        <c:crosses val="autoZero"/>
        <c:crossBetween val="between"/>
      </c:valAx>
      <c:spPr>
        <a:ln>
          <a:solidFill>
            <a:schemeClr val="bg1">
              <a:lumMod val="50000"/>
            </a:schemeClr>
          </a:solidFill>
          <a:prstDash val="solid"/>
        </a:ln>
      </c:spPr>
    </c:plotArea>
    <c:plotVisOnly val="1"/>
    <c:dispBlanksAs val="gap"/>
    <c:showDLblsOverMax val="0"/>
  </c:chart>
  <c:printSettings>
    <c:headerFooter/>
    <c:pageMargins b="0.750000000000004" l="0.70000000000000095" r="0.70000000000000095" t="0.750000000000004"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899853097688928"/>
          <c:y val="0.20762413679331257"/>
          <c:w val="0.81643548290533885"/>
          <c:h val="0.62961775994434754"/>
        </c:manualLayout>
      </c:layout>
      <c:lineChart>
        <c:grouping val="standard"/>
        <c:varyColors val="0"/>
        <c:ser>
          <c:idx val="0"/>
          <c:order val="0"/>
          <c:tx>
            <c:strRef>
              <c:f>data!$B$176</c:f>
              <c:strCache>
                <c:ptCount val="1"/>
                <c:pt idx="0">
                  <c:v>ASDC</c:v>
                </c:pt>
              </c:strCache>
            </c:strRef>
          </c:tx>
          <c:marker>
            <c:symbol val="none"/>
          </c:marker>
          <c:cat>
            <c:strRef>
              <c:f>data!$A$177:$A$191</c:f>
              <c:strCache>
                <c:ptCount val="15"/>
                <c:pt idx="0">
                  <c:v>FY08</c:v>
                </c:pt>
                <c:pt idx="1">
                  <c:v>FY09</c:v>
                </c:pt>
                <c:pt idx="2">
                  <c:v>FY10</c:v>
                </c:pt>
                <c:pt idx="3">
                  <c:v>FY11</c:v>
                </c:pt>
                <c:pt idx="4">
                  <c:v>FY12</c:v>
                </c:pt>
                <c:pt idx="5">
                  <c:v>FY13</c:v>
                </c:pt>
                <c:pt idx="6">
                  <c:v>FY14</c:v>
                </c:pt>
                <c:pt idx="7">
                  <c:v>FY15</c:v>
                </c:pt>
                <c:pt idx="8">
                  <c:v>FY16</c:v>
                </c:pt>
                <c:pt idx="9">
                  <c:v>FY17</c:v>
                </c:pt>
                <c:pt idx="10">
                  <c:v>FY18</c:v>
                </c:pt>
                <c:pt idx="11">
                  <c:v>FY19</c:v>
                </c:pt>
                <c:pt idx="12">
                  <c:v>FY20</c:v>
                </c:pt>
                <c:pt idx="13">
                  <c:v>FY21</c:v>
                </c:pt>
                <c:pt idx="14">
                  <c:v>FY22</c:v>
                </c:pt>
              </c:strCache>
            </c:strRef>
          </c:cat>
          <c:val>
            <c:numRef>
              <c:f>data!$B$177:$B$191</c:f>
              <c:numCache>
                <c:formatCode>0.0%</c:formatCode>
                <c:ptCount val="15"/>
                <c:pt idx="0">
                  <c:v>2.6576141684055352E-3</c:v>
                </c:pt>
                <c:pt idx="1">
                  <c:v>3.0116919157454165E-3</c:v>
                </c:pt>
                <c:pt idx="2">
                  <c:v>4.2365347001569369E-3</c:v>
                </c:pt>
                <c:pt idx="3">
                  <c:v>1.804059133049361E-3</c:v>
                </c:pt>
                <c:pt idx="4">
                  <c:v>5.3350104639941012E-3</c:v>
                </c:pt>
                <c:pt idx="5">
                  <c:v>7.2200100691107143E-3</c:v>
                </c:pt>
                <c:pt idx="6">
                  <c:v>1.308025876164072E-2</c:v>
                </c:pt>
                <c:pt idx="7">
                  <c:v>9.3063551506343978E-3</c:v>
                </c:pt>
                <c:pt idx="8">
                  <c:v>8.9196205948127386E-3</c:v>
                </c:pt>
                <c:pt idx="9">
                  <c:v>8.712842290232831E-3</c:v>
                </c:pt>
                <c:pt idx="10">
                  <c:v>7.1431478692661485E-3</c:v>
                </c:pt>
                <c:pt idx="11">
                  <c:v>5.1523253771541206E-3</c:v>
                </c:pt>
              </c:numCache>
            </c:numRef>
          </c:val>
          <c:smooth val="0"/>
          <c:extLst>
            <c:ext xmlns:c16="http://schemas.microsoft.com/office/drawing/2014/chart" uri="{C3380CC4-5D6E-409C-BE32-E72D297353CC}">
              <c16:uniqueId val="{00000000-2A41-684B-86FD-C346F2C4AC5A}"/>
            </c:ext>
          </c:extLst>
        </c:ser>
        <c:dLbls>
          <c:showLegendKey val="0"/>
          <c:showVal val="0"/>
          <c:showCatName val="0"/>
          <c:showSerName val="0"/>
          <c:showPercent val="0"/>
          <c:showBubbleSize val="0"/>
        </c:dLbls>
        <c:smooth val="0"/>
        <c:axId val="361714112"/>
        <c:axId val="361715744"/>
      </c:lineChart>
      <c:catAx>
        <c:axId val="361714112"/>
        <c:scaling>
          <c:orientation val="minMax"/>
        </c:scaling>
        <c:delete val="0"/>
        <c:axPos val="b"/>
        <c:title>
          <c:tx>
            <c:rich>
              <a:bodyPr/>
              <a:lstStyle/>
              <a:p>
                <a:pPr>
                  <a:defRPr sz="1200"/>
                </a:pPr>
                <a:r>
                  <a:rPr lang="en-US" sz="1200"/>
                  <a:t>Fiscal Year</a:t>
                </a:r>
              </a:p>
            </c:rich>
          </c:tx>
          <c:layout>
            <c:manualLayout>
              <c:xMode val="edge"/>
              <c:yMode val="edge"/>
              <c:x val="0.48422756091902203"/>
              <c:y val="0.91945592070692705"/>
            </c:manualLayout>
          </c:layout>
          <c:overlay val="0"/>
        </c:title>
        <c:numFmt formatCode="General" sourceLinked="0"/>
        <c:majorTickMark val="out"/>
        <c:minorTickMark val="none"/>
        <c:tickLblPos val="nextTo"/>
        <c:txPr>
          <a:bodyPr/>
          <a:lstStyle/>
          <a:p>
            <a:pPr>
              <a:defRPr sz="1200" b="0" baseline="0">
                <a:latin typeface="+mn-lt"/>
                <a:cs typeface="Arial" panose="020B0604020202020204" pitchFamily="34" charset="0"/>
              </a:defRPr>
            </a:pPr>
            <a:endParaRPr lang="en-US"/>
          </a:p>
        </c:txPr>
        <c:crossAx val="361715744"/>
        <c:crosses val="autoZero"/>
        <c:auto val="1"/>
        <c:lblAlgn val="ctr"/>
        <c:lblOffset val="100"/>
        <c:noMultiLvlLbl val="0"/>
      </c:catAx>
      <c:valAx>
        <c:axId val="361715744"/>
        <c:scaling>
          <c:orientation val="minMax"/>
        </c:scaling>
        <c:delete val="0"/>
        <c:axPos val="l"/>
        <c:majorGridlines/>
        <c:title>
          <c:tx>
            <c:rich>
              <a:bodyPr/>
              <a:lstStyle/>
              <a:p>
                <a:pPr>
                  <a:defRPr sz="1200"/>
                </a:pPr>
                <a:r>
                  <a:rPr lang="en-US" sz="1200"/>
                  <a:t>Percentage</a:t>
                </a:r>
              </a:p>
            </c:rich>
          </c:tx>
          <c:layout>
            <c:manualLayout>
              <c:xMode val="edge"/>
              <c:yMode val="edge"/>
              <c:x val="4.8473441747445998E-3"/>
              <c:y val="0.36539536980201598"/>
            </c:manualLayout>
          </c:layout>
          <c:overlay val="0"/>
        </c:title>
        <c:numFmt formatCode="0.0%" sourceLinked="0"/>
        <c:majorTickMark val="out"/>
        <c:minorTickMark val="none"/>
        <c:tickLblPos val="nextTo"/>
        <c:txPr>
          <a:bodyPr/>
          <a:lstStyle/>
          <a:p>
            <a:pPr>
              <a:defRPr sz="1200">
                <a:solidFill>
                  <a:sysClr val="windowText" lastClr="000000"/>
                </a:solidFill>
                <a:latin typeface="+mn-lt"/>
                <a:cs typeface="Arial" panose="020B0604020202020204" pitchFamily="34" charset="0"/>
              </a:defRPr>
            </a:pPr>
            <a:endParaRPr lang="en-US"/>
          </a:p>
        </c:txPr>
        <c:crossAx val="361714112"/>
        <c:crosses val="autoZero"/>
        <c:crossBetween val="between"/>
      </c:valAx>
      <c:spPr>
        <a:ln>
          <a:solidFill>
            <a:schemeClr val="bg1">
              <a:lumMod val="50000"/>
            </a:schemeClr>
          </a:solidFill>
          <a:prstDash val="solid"/>
        </a:ln>
      </c:spPr>
    </c:plotArea>
    <c:plotVisOnly val="1"/>
    <c:dispBlanksAs val="gap"/>
    <c:showDLblsOverMax val="0"/>
  </c:chart>
  <c:printSettings>
    <c:headerFooter/>
    <c:pageMargins b="0.750000000000004" l="0.70000000000000095" r="0.70000000000000095" t="0.750000000000004" header="0.3" footer="0.3"/>
    <c:pageSetup/>
  </c:printSettings>
  <c:userShapes r:id="rId1"/>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44377647232707"/>
          <c:y val="0.143607581541664"/>
          <c:w val="0.80852879025372704"/>
          <c:h val="0.70576857582792596"/>
        </c:manualLayout>
      </c:layout>
      <c:barChart>
        <c:barDir val="col"/>
        <c:grouping val="clustered"/>
        <c:varyColors val="0"/>
        <c:ser>
          <c:idx val="0"/>
          <c:order val="0"/>
          <c:tx>
            <c:strRef>
              <c:f>data!$Q$283</c:f>
              <c:strCache>
                <c:ptCount val="1"/>
                <c:pt idx="0">
                  <c:v>VISITS</c:v>
                </c:pt>
              </c:strCache>
            </c:strRef>
          </c:tx>
          <c:invertIfNegative val="0"/>
          <c:cat>
            <c:strRef>
              <c:f>data!$A$284:$A$302</c:f>
              <c:strCache>
                <c:ptCount val="19"/>
                <c:pt idx="0">
                  <c:v>FY07</c:v>
                </c:pt>
                <c:pt idx="1">
                  <c:v>FY08</c:v>
                </c:pt>
                <c:pt idx="2">
                  <c:v>FY09</c:v>
                </c:pt>
                <c:pt idx="3">
                  <c:v>FY10</c:v>
                </c:pt>
                <c:pt idx="4">
                  <c:v>FY11</c:v>
                </c:pt>
                <c:pt idx="5">
                  <c:v>FY12</c:v>
                </c:pt>
                <c:pt idx="6">
                  <c:v>FY13</c:v>
                </c:pt>
                <c:pt idx="7">
                  <c:v>FY14</c:v>
                </c:pt>
                <c:pt idx="8">
                  <c:v>FY15</c:v>
                </c:pt>
                <c:pt idx="9">
                  <c:v>FY16</c:v>
                </c:pt>
                <c:pt idx="10">
                  <c:v>FY17</c:v>
                </c:pt>
                <c:pt idx="11">
                  <c:v>FY18</c:v>
                </c:pt>
                <c:pt idx="12">
                  <c:v>FY19</c:v>
                </c:pt>
                <c:pt idx="13">
                  <c:v>FY20</c:v>
                </c:pt>
                <c:pt idx="14">
                  <c:v>FY21</c:v>
                </c:pt>
                <c:pt idx="15">
                  <c:v>FY22</c:v>
                </c:pt>
                <c:pt idx="16">
                  <c:v>FY23</c:v>
                </c:pt>
                <c:pt idx="17">
                  <c:v>FY24</c:v>
                </c:pt>
                <c:pt idx="18">
                  <c:v>FY25</c:v>
                </c:pt>
              </c:strCache>
            </c:strRef>
          </c:cat>
          <c:val>
            <c:numRef>
              <c:f>data!$Q$284:$Q$302</c:f>
              <c:numCache>
                <c:formatCode>_(* #,##0_);_(* \(#,##0\);_(* "-"??_);_(@_)</c:formatCode>
                <c:ptCount val="19"/>
                <c:pt idx="2">
                  <c:v>3563</c:v>
                </c:pt>
                <c:pt idx="3">
                  <c:v>5044</c:v>
                </c:pt>
                <c:pt idx="4">
                  <c:v>4566</c:v>
                </c:pt>
                <c:pt idx="5">
                  <c:v>6236</c:v>
                </c:pt>
                <c:pt idx="6">
                  <c:v>7576</c:v>
                </c:pt>
                <c:pt idx="7">
                  <c:v>8071</c:v>
                </c:pt>
                <c:pt idx="8">
                  <c:v>10494</c:v>
                </c:pt>
                <c:pt idx="9">
                  <c:v>17347</c:v>
                </c:pt>
                <c:pt idx="10">
                  <c:v>23160</c:v>
                </c:pt>
                <c:pt idx="11">
                  <c:v>24485</c:v>
                </c:pt>
                <c:pt idx="12">
                  <c:v>8500</c:v>
                </c:pt>
                <c:pt idx="13">
                  <c:v>14333</c:v>
                </c:pt>
                <c:pt idx="14">
                  <c:v>16453</c:v>
                </c:pt>
                <c:pt idx="15">
                  <c:v>16737</c:v>
                </c:pt>
                <c:pt idx="16">
                  <c:v>16681</c:v>
                </c:pt>
                <c:pt idx="17">
                  <c:v>20119</c:v>
                </c:pt>
                <c:pt idx="18">
                  <c:v>59559</c:v>
                </c:pt>
              </c:numCache>
            </c:numRef>
          </c:val>
          <c:extLst>
            <c:ext xmlns:c16="http://schemas.microsoft.com/office/drawing/2014/chart" uri="{C3380CC4-5D6E-409C-BE32-E72D297353CC}">
              <c16:uniqueId val="{00000000-A346-8E4A-9B64-65C2BD4E257E}"/>
            </c:ext>
          </c:extLst>
        </c:ser>
        <c:ser>
          <c:idx val="1"/>
          <c:order val="1"/>
          <c:tx>
            <c:strRef>
              <c:f>data!$R$283</c:f>
              <c:strCache>
                <c:ptCount val="1"/>
                <c:pt idx="0">
                  <c:v>VIEWS</c:v>
                </c:pt>
              </c:strCache>
            </c:strRef>
          </c:tx>
          <c:invertIfNegative val="0"/>
          <c:cat>
            <c:strRef>
              <c:f>data!$A$284:$A$302</c:f>
              <c:strCache>
                <c:ptCount val="19"/>
                <c:pt idx="0">
                  <c:v>FY07</c:v>
                </c:pt>
                <c:pt idx="1">
                  <c:v>FY08</c:v>
                </c:pt>
                <c:pt idx="2">
                  <c:v>FY09</c:v>
                </c:pt>
                <c:pt idx="3">
                  <c:v>FY10</c:v>
                </c:pt>
                <c:pt idx="4">
                  <c:v>FY11</c:v>
                </c:pt>
                <c:pt idx="5">
                  <c:v>FY12</c:v>
                </c:pt>
                <c:pt idx="6">
                  <c:v>FY13</c:v>
                </c:pt>
                <c:pt idx="7">
                  <c:v>FY14</c:v>
                </c:pt>
                <c:pt idx="8">
                  <c:v>FY15</c:v>
                </c:pt>
                <c:pt idx="9">
                  <c:v>FY16</c:v>
                </c:pt>
                <c:pt idx="10">
                  <c:v>FY17</c:v>
                </c:pt>
                <c:pt idx="11">
                  <c:v>FY18</c:v>
                </c:pt>
                <c:pt idx="12">
                  <c:v>FY19</c:v>
                </c:pt>
                <c:pt idx="13">
                  <c:v>FY20</c:v>
                </c:pt>
                <c:pt idx="14">
                  <c:v>FY21</c:v>
                </c:pt>
                <c:pt idx="15">
                  <c:v>FY22</c:v>
                </c:pt>
                <c:pt idx="16">
                  <c:v>FY23</c:v>
                </c:pt>
                <c:pt idx="17">
                  <c:v>FY24</c:v>
                </c:pt>
                <c:pt idx="18">
                  <c:v>FY25</c:v>
                </c:pt>
              </c:strCache>
            </c:strRef>
          </c:cat>
          <c:val>
            <c:numRef>
              <c:f>data!$R$284:$R$302</c:f>
              <c:numCache>
                <c:formatCode>_(* #,##0_);_(* \(#,##0\);_(* "-"??_);_(@_)</c:formatCode>
                <c:ptCount val="19"/>
                <c:pt idx="2">
                  <c:v>25293</c:v>
                </c:pt>
                <c:pt idx="3">
                  <c:v>37090</c:v>
                </c:pt>
                <c:pt idx="4">
                  <c:v>143683</c:v>
                </c:pt>
                <c:pt idx="5">
                  <c:v>50572</c:v>
                </c:pt>
                <c:pt idx="6">
                  <c:v>62644</c:v>
                </c:pt>
                <c:pt idx="7">
                  <c:v>70567</c:v>
                </c:pt>
                <c:pt idx="8">
                  <c:v>102909</c:v>
                </c:pt>
                <c:pt idx="9">
                  <c:v>140576</c:v>
                </c:pt>
                <c:pt idx="10">
                  <c:v>392057</c:v>
                </c:pt>
                <c:pt idx="11">
                  <c:v>529075</c:v>
                </c:pt>
                <c:pt idx="12">
                  <c:v>77387</c:v>
                </c:pt>
                <c:pt idx="13">
                  <c:v>194039</c:v>
                </c:pt>
                <c:pt idx="14">
                  <c:v>205823</c:v>
                </c:pt>
                <c:pt idx="15">
                  <c:v>283146</c:v>
                </c:pt>
                <c:pt idx="16">
                  <c:v>73905</c:v>
                </c:pt>
                <c:pt idx="17">
                  <c:v>266314</c:v>
                </c:pt>
                <c:pt idx="18">
                  <c:v>588637</c:v>
                </c:pt>
              </c:numCache>
            </c:numRef>
          </c:val>
          <c:extLst>
            <c:ext xmlns:c16="http://schemas.microsoft.com/office/drawing/2014/chart" uri="{C3380CC4-5D6E-409C-BE32-E72D297353CC}">
              <c16:uniqueId val="{00000003-A346-8E4A-9B64-65C2BD4E257E}"/>
            </c:ext>
          </c:extLst>
        </c:ser>
        <c:ser>
          <c:idx val="2"/>
          <c:order val="2"/>
          <c:tx>
            <c:strRef>
              <c:f>data!$S$283</c:f>
              <c:strCache>
                <c:ptCount val="1"/>
                <c:pt idx="0">
                  <c:v>VISITORS</c:v>
                </c:pt>
              </c:strCache>
            </c:strRef>
          </c:tx>
          <c:invertIfNegative val="0"/>
          <c:cat>
            <c:strRef>
              <c:f>data!$A$284:$A$302</c:f>
              <c:strCache>
                <c:ptCount val="19"/>
                <c:pt idx="0">
                  <c:v>FY07</c:v>
                </c:pt>
                <c:pt idx="1">
                  <c:v>FY08</c:v>
                </c:pt>
                <c:pt idx="2">
                  <c:v>FY09</c:v>
                </c:pt>
                <c:pt idx="3">
                  <c:v>FY10</c:v>
                </c:pt>
                <c:pt idx="4">
                  <c:v>FY11</c:v>
                </c:pt>
                <c:pt idx="5">
                  <c:v>FY12</c:v>
                </c:pt>
                <c:pt idx="6">
                  <c:v>FY13</c:v>
                </c:pt>
                <c:pt idx="7">
                  <c:v>FY14</c:v>
                </c:pt>
                <c:pt idx="8">
                  <c:v>FY15</c:v>
                </c:pt>
                <c:pt idx="9">
                  <c:v>FY16</c:v>
                </c:pt>
                <c:pt idx="10">
                  <c:v>FY17</c:v>
                </c:pt>
                <c:pt idx="11">
                  <c:v>FY18</c:v>
                </c:pt>
                <c:pt idx="12">
                  <c:v>FY19</c:v>
                </c:pt>
                <c:pt idx="13">
                  <c:v>FY20</c:v>
                </c:pt>
                <c:pt idx="14">
                  <c:v>FY21</c:v>
                </c:pt>
                <c:pt idx="15">
                  <c:v>FY22</c:v>
                </c:pt>
                <c:pt idx="16">
                  <c:v>FY23</c:v>
                </c:pt>
                <c:pt idx="17">
                  <c:v>FY24</c:v>
                </c:pt>
                <c:pt idx="18">
                  <c:v>FY25</c:v>
                </c:pt>
              </c:strCache>
            </c:strRef>
          </c:cat>
          <c:val>
            <c:numRef>
              <c:f>data!$S$284:$S$302</c:f>
              <c:numCache>
                <c:formatCode>_(* #,##0_);_(* \(#,##0\);_(* "-"??_);_(@_)</c:formatCode>
                <c:ptCount val="19"/>
                <c:pt idx="2">
                  <c:v>2011</c:v>
                </c:pt>
                <c:pt idx="3">
                  <c:v>3477</c:v>
                </c:pt>
                <c:pt idx="4">
                  <c:v>3092</c:v>
                </c:pt>
                <c:pt idx="5">
                  <c:v>4606</c:v>
                </c:pt>
                <c:pt idx="6">
                  <c:v>5560</c:v>
                </c:pt>
                <c:pt idx="7">
                  <c:v>5858</c:v>
                </c:pt>
                <c:pt idx="8">
                  <c:v>7365</c:v>
                </c:pt>
                <c:pt idx="9">
                  <c:v>12048</c:v>
                </c:pt>
                <c:pt idx="10">
                  <c:v>15823</c:v>
                </c:pt>
                <c:pt idx="11">
                  <c:v>16568</c:v>
                </c:pt>
                <c:pt idx="12">
                  <c:v>7398</c:v>
                </c:pt>
                <c:pt idx="13">
                  <c:v>14343</c:v>
                </c:pt>
                <c:pt idx="14">
                  <c:v>16588</c:v>
                </c:pt>
                <c:pt idx="15">
                  <c:v>15483</c:v>
                </c:pt>
                <c:pt idx="16">
                  <c:v>17730</c:v>
                </c:pt>
                <c:pt idx="17">
                  <c:v>14713</c:v>
                </c:pt>
                <c:pt idx="18">
                  <c:v>49179</c:v>
                </c:pt>
              </c:numCache>
            </c:numRef>
          </c:val>
          <c:extLst>
            <c:ext xmlns:c16="http://schemas.microsoft.com/office/drawing/2014/chart" uri="{C3380CC4-5D6E-409C-BE32-E72D297353CC}">
              <c16:uniqueId val="{00000004-A346-8E4A-9B64-65C2BD4E257E}"/>
            </c:ext>
          </c:extLst>
        </c:ser>
        <c:dLbls>
          <c:showLegendKey val="0"/>
          <c:showVal val="0"/>
          <c:showCatName val="0"/>
          <c:showSerName val="0"/>
          <c:showPercent val="0"/>
          <c:showBubbleSize val="0"/>
        </c:dLbls>
        <c:gapWidth val="219"/>
        <c:overlap val="-27"/>
        <c:axId val="412589952"/>
        <c:axId val="412584512"/>
      </c:barChart>
      <c:catAx>
        <c:axId val="412589952"/>
        <c:scaling>
          <c:orientation val="minMax"/>
        </c:scaling>
        <c:delete val="0"/>
        <c:axPos val="b"/>
        <c:title>
          <c:tx>
            <c:rich>
              <a:bodyPr rot="0" spcFirstLastPara="1" vertOverflow="ellipsis" vert="horz" wrap="square" anchor="ctr" anchorCtr="1"/>
              <a:lstStyle/>
              <a:p>
                <a:pPr>
                  <a:defRPr sz="1200" b="1" i="0" u="none" strike="noStrike" kern="1200" baseline="0">
                    <a:solidFill>
                      <a:sysClr val="windowText" lastClr="000000"/>
                    </a:solidFill>
                    <a:latin typeface="+mn-lt"/>
                    <a:ea typeface="+mn-ea"/>
                    <a:cs typeface="+mn-cs"/>
                  </a:defRPr>
                </a:pPr>
                <a:r>
                  <a:rPr lang="en-US" sz="1200" b="1">
                    <a:solidFill>
                      <a:sysClr val="windowText" lastClr="000000"/>
                    </a:solidFill>
                  </a:rPr>
                  <a:t>Fiscal Year</a:t>
                </a:r>
              </a:p>
            </c:rich>
          </c:tx>
          <c:layout>
            <c:manualLayout>
              <c:xMode val="edge"/>
              <c:yMode val="edge"/>
              <c:x val="0.50997785327073908"/>
              <c:y val="0.9253300515326548"/>
            </c:manualLayout>
          </c:layout>
          <c:overlay val="0"/>
          <c:spPr>
            <a:noFill/>
            <a:ln>
              <a:noFill/>
            </a:ln>
            <a:effectLst/>
          </c:spPr>
        </c:title>
        <c:numFmt formatCode="General" sourceLinked="1"/>
        <c:majorTickMark val="out"/>
        <c:minorTickMark val="none"/>
        <c:tickLblPos val="nextTo"/>
        <c:spPr>
          <a:noFill/>
          <a:ln w="12700" cap="flat" cmpd="sng" algn="ctr">
            <a:solidFill>
              <a:schemeClr val="bg1">
                <a:lumMod val="50000"/>
              </a:schemeClr>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en-US"/>
          </a:p>
        </c:txPr>
        <c:crossAx val="412584512"/>
        <c:crosses val="autoZero"/>
        <c:auto val="1"/>
        <c:lblAlgn val="ctr"/>
        <c:lblOffset val="100"/>
        <c:noMultiLvlLbl val="0"/>
      </c:catAx>
      <c:valAx>
        <c:axId val="412584512"/>
        <c:scaling>
          <c:orientation val="minMax"/>
        </c:scaling>
        <c:delete val="0"/>
        <c:axPos val="l"/>
        <c:majorGridlines>
          <c:spPr>
            <a:ln w="9525" cap="flat" cmpd="sng" algn="ctr">
              <a:solidFill>
                <a:schemeClr val="bg1">
                  <a:lumMod val="50000"/>
                </a:schemeClr>
              </a:solidFill>
              <a:round/>
            </a:ln>
            <a:effectLst/>
          </c:spPr>
        </c:majorGridlines>
        <c:title>
          <c:tx>
            <c:rich>
              <a:bodyPr rot="-5400000" spcFirstLastPara="1" vertOverflow="ellipsis" vert="horz" wrap="square" anchor="ctr" anchorCtr="1"/>
              <a:lstStyle/>
              <a:p>
                <a:pPr>
                  <a:defRPr sz="1200" b="1" i="0" u="none" strike="noStrike" kern="1200" baseline="0">
                    <a:solidFill>
                      <a:sysClr val="windowText" lastClr="000000"/>
                    </a:solidFill>
                    <a:latin typeface="+mn-lt"/>
                    <a:ea typeface="+mn-ea"/>
                    <a:cs typeface="+mn-cs"/>
                  </a:defRPr>
                </a:pPr>
                <a:r>
                  <a:rPr lang="en-US" sz="1200" b="1">
                    <a:solidFill>
                      <a:sysClr val="windowText" lastClr="000000"/>
                    </a:solidFill>
                  </a:rPr>
                  <a:t>Number </a:t>
                </a:r>
              </a:p>
            </c:rich>
          </c:tx>
          <c:layout>
            <c:manualLayout>
              <c:xMode val="edge"/>
              <c:yMode val="edge"/>
              <c:x val="3.3999234192006499E-3"/>
              <c:y val="0.346614823753157"/>
            </c:manualLayout>
          </c:layout>
          <c:overlay val="0"/>
          <c:spPr>
            <a:noFill/>
            <a:ln>
              <a:noFill/>
            </a:ln>
            <a:effectLst/>
          </c:spPr>
        </c:title>
        <c:numFmt formatCode="#,##0" sourceLinked="0"/>
        <c:majorTickMark val="out"/>
        <c:minorTickMark val="none"/>
        <c:tickLblPos val="nextTo"/>
        <c:spPr>
          <a:noFill/>
          <a:ln>
            <a:solidFill>
              <a:schemeClr val="bg1">
                <a:lumMod val="50000"/>
              </a:schemeClr>
            </a:solid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en-US"/>
          </a:p>
        </c:txPr>
        <c:crossAx val="412589952"/>
        <c:crosses val="autoZero"/>
        <c:crossBetween val="between"/>
      </c:valAx>
      <c:spPr>
        <a:noFill/>
        <a:ln>
          <a:solidFill>
            <a:schemeClr val="bg1">
              <a:lumMod val="50000"/>
            </a:schemeClr>
          </a:solidFill>
        </a:ln>
        <a:effectLst/>
      </c:spPr>
    </c:plotArea>
    <c:legend>
      <c:legendPos val="b"/>
      <c:layout>
        <c:manualLayout>
          <c:xMode val="edge"/>
          <c:yMode val="edge"/>
          <c:x val="0.37193785770536536"/>
          <c:y val="0.16797025371828522"/>
          <c:w val="0.31945279506777341"/>
          <c:h val="0.10425529103759629"/>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bg1">
          <a:lumMod val="50000"/>
        </a:schemeClr>
      </a:solidFill>
      <a:round/>
    </a:ln>
    <a:effectLst/>
  </c:spPr>
  <c:txPr>
    <a:bodyPr/>
    <a:lstStyle/>
    <a:p>
      <a:pPr>
        <a:defRPr/>
      </a:pPr>
      <a:endParaRPr lang="en-US"/>
    </a:p>
  </c:txPr>
  <c:printSettings>
    <c:headerFooter/>
    <c:pageMargins b="0.75" l="0.7" r="0.7" t="0.75" header="0.3" footer="0.3"/>
    <c:pageSetup/>
  </c:printSettings>
  <c:userShapes r:id="rId1"/>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a:latin typeface="+mn-lt"/>
                <a:cs typeface="Arial" panose="020B0604020202020204" pitchFamily="34" charset="0"/>
              </a:defRPr>
            </a:pPr>
            <a:r>
              <a:rPr lang="en-US"/>
              <a:t>LAADS DAAC Multi-Year Total Archive Volume Trend</a:t>
            </a:r>
          </a:p>
        </c:rich>
      </c:tx>
      <c:layout>
        <c:manualLayout>
          <c:xMode val="edge"/>
          <c:yMode val="edge"/>
          <c:x val="0.223544133657093"/>
          <c:y val="3.8412164179890997E-2"/>
        </c:manualLayout>
      </c:layout>
      <c:overlay val="0"/>
    </c:title>
    <c:autoTitleDeleted val="0"/>
    <c:plotArea>
      <c:layout>
        <c:manualLayout>
          <c:layoutTarget val="inner"/>
          <c:xMode val="edge"/>
          <c:yMode val="edge"/>
          <c:x val="0.156188786714438"/>
          <c:y val="0.18228668594254499"/>
          <c:w val="0.80487043883359"/>
          <c:h val="0.65076746334831104"/>
        </c:manualLayout>
      </c:layout>
      <c:barChart>
        <c:barDir val="col"/>
        <c:grouping val="clustered"/>
        <c:varyColors val="0"/>
        <c:ser>
          <c:idx val="0"/>
          <c:order val="0"/>
          <c:tx>
            <c:strRef>
              <c:f>data!$I$156</c:f>
              <c:strCache>
                <c:ptCount val="1"/>
                <c:pt idx="0">
                  <c:v>LAADS DAAC</c:v>
                </c:pt>
              </c:strCache>
            </c:strRef>
          </c:tx>
          <c:spPr>
            <a:solidFill>
              <a:schemeClr val="accent2">
                <a:lumMod val="75000"/>
              </a:schemeClr>
            </a:solidFill>
          </c:spPr>
          <c:invertIfNegative val="0"/>
          <c:cat>
            <c:strRef>
              <c:f>data!$A$157:$A$174</c:f>
              <c:strCache>
                <c:ptCount val="18"/>
                <c:pt idx="0">
                  <c:v>FY08</c:v>
                </c:pt>
                <c:pt idx="1">
                  <c:v>FY09</c:v>
                </c:pt>
                <c:pt idx="2">
                  <c:v>FY10</c:v>
                </c:pt>
                <c:pt idx="3">
                  <c:v>FY11</c:v>
                </c:pt>
                <c:pt idx="4">
                  <c:v>FY12</c:v>
                </c:pt>
                <c:pt idx="5">
                  <c:v>FY13</c:v>
                </c:pt>
                <c:pt idx="6">
                  <c:v>FY14</c:v>
                </c:pt>
                <c:pt idx="7">
                  <c:v>FY15</c:v>
                </c:pt>
                <c:pt idx="8">
                  <c:v>FY16</c:v>
                </c:pt>
                <c:pt idx="9">
                  <c:v>FY17</c:v>
                </c:pt>
                <c:pt idx="10">
                  <c:v>FY18</c:v>
                </c:pt>
                <c:pt idx="11">
                  <c:v>FY19</c:v>
                </c:pt>
                <c:pt idx="12">
                  <c:v>FY20</c:v>
                </c:pt>
                <c:pt idx="13">
                  <c:v>FY21</c:v>
                </c:pt>
                <c:pt idx="14">
                  <c:v>FY22</c:v>
                </c:pt>
                <c:pt idx="15">
                  <c:v>FY23</c:v>
                </c:pt>
                <c:pt idx="16">
                  <c:v>FY24</c:v>
                </c:pt>
                <c:pt idx="17">
                  <c:v>FY25</c:v>
                </c:pt>
              </c:strCache>
            </c:strRef>
          </c:cat>
          <c:val>
            <c:numRef>
              <c:f>data!$I$157:$I$174</c:f>
              <c:numCache>
                <c:formatCode>_(* #,##0.00_);_(* \(#,##0.00\);_(* "-"??_);_(@_)</c:formatCode>
                <c:ptCount val="18"/>
                <c:pt idx="0">
                  <c:v>180.68916015625001</c:v>
                </c:pt>
                <c:pt idx="1">
                  <c:v>392.52600000000001</c:v>
                </c:pt>
                <c:pt idx="2">
                  <c:v>768.33581738281248</c:v>
                </c:pt>
                <c:pt idx="3">
                  <c:v>882.08933593749998</c:v>
                </c:pt>
                <c:pt idx="4">
                  <c:v>1159.65796875</c:v>
                </c:pt>
                <c:pt idx="5">
                  <c:v>1543.9236425781251</c:v>
                </c:pt>
                <c:pt idx="6">
                  <c:v>2298.7438358583699</c:v>
                </c:pt>
                <c:pt idx="7">
                  <c:v>5265.4695996093751</c:v>
                </c:pt>
                <c:pt idx="8">
                  <c:v>6075.106201171875</c:v>
                </c:pt>
                <c:pt idx="9">
                  <c:v>5817.7347851562499</c:v>
                </c:pt>
                <c:pt idx="10">
                  <c:v>5239.0061333785934</c:v>
                </c:pt>
                <c:pt idx="11">
                  <c:v>6965.8571582031254</c:v>
                </c:pt>
                <c:pt idx="12">
                  <c:v>10907.8874609375</c:v>
                </c:pt>
                <c:pt idx="13">
                  <c:v>16560.643476562502</c:v>
                </c:pt>
                <c:pt idx="14">
                  <c:v>19751.726464843749</c:v>
                </c:pt>
                <c:pt idx="15">
                  <c:v>26694.596921561242</c:v>
                </c:pt>
                <c:pt idx="16">
                  <c:v>30996.539052734377</c:v>
                </c:pt>
                <c:pt idx="17">
                  <c:v>34413.696064453128</c:v>
                </c:pt>
              </c:numCache>
            </c:numRef>
          </c:val>
          <c:extLst>
            <c:ext xmlns:c16="http://schemas.microsoft.com/office/drawing/2014/chart" uri="{C3380CC4-5D6E-409C-BE32-E72D297353CC}">
              <c16:uniqueId val="{00000000-8755-3541-9C71-3BA55C72B5CB}"/>
            </c:ext>
          </c:extLst>
        </c:ser>
        <c:dLbls>
          <c:showLegendKey val="0"/>
          <c:showVal val="0"/>
          <c:showCatName val="0"/>
          <c:showSerName val="0"/>
          <c:showPercent val="0"/>
          <c:showBubbleSize val="0"/>
        </c:dLbls>
        <c:gapWidth val="150"/>
        <c:axId val="411539536"/>
        <c:axId val="411538448"/>
      </c:barChart>
      <c:catAx>
        <c:axId val="411539536"/>
        <c:scaling>
          <c:orientation val="minMax"/>
        </c:scaling>
        <c:delete val="0"/>
        <c:axPos val="b"/>
        <c:title>
          <c:tx>
            <c:rich>
              <a:bodyPr/>
              <a:lstStyle/>
              <a:p>
                <a:pPr>
                  <a:defRPr sz="1200"/>
                </a:pPr>
                <a:r>
                  <a:rPr lang="en-US" sz="1200"/>
                  <a:t>Fiscal Year</a:t>
                </a:r>
              </a:p>
            </c:rich>
          </c:tx>
          <c:layout>
            <c:manualLayout>
              <c:xMode val="edge"/>
              <c:yMode val="edge"/>
              <c:x val="0.49999567596515698"/>
              <c:y val="0.91411120752953801"/>
            </c:manualLayout>
          </c:layout>
          <c:overlay val="0"/>
        </c:title>
        <c:numFmt formatCode="General" sourceLinked="0"/>
        <c:majorTickMark val="out"/>
        <c:minorTickMark val="none"/>
        <c:tickLblPos val="nextTo"/>
        <c:txPr>
          <a:bodyPr/>
          <a:lstStyle/>
          <a:p>
            <a:pPr>
              <a:defRPr sz="1200" b="0" baseline="0">
                <a:latin typeface="+mn-lt"/>
                <a:cs typeface="Arial" panose="020B0604020202020204" pitchFamily="34" charset="0"/>
              </a:defRPr>
            </a:pPr>
            <a:endParaRPr lang="en-US"/>
          </a:p>
        </c:txPr>
        <c:crossAx val="411538448"/>
        <c:crosses val="autoZero"/>
        <c:auto val="1"/>
        <c:lblAlgn val="ctr"/>
        <c:lblOffset val="100"/>
        <c:noMultiLvlLbl val="0"/>
      </c:catAx>
      <c:valAx>
        <c:axId val="411538448"/>
        <c:scaling>
          <c:orientation val="minMax"/>
        </c:scaling>
        <c:delete val="0"/>
        <c:axPos val="l"/>
        <c:majorGridlines/>
        <c:title>
          <c:tx>
            <c:rich>
              <a:bodyPr/>
              <a:lstStyle/>
              <a:p>
                <a:pPr>
                  <a:defRPr sz="1200"/>
                </a:pPr>
                <a:r>
                  <a:rPr lang="en-US" sz="1200"/>
                  <a:t>Volume (TB)</a:t>
                </a:r>
              </a:p>
            </c:rich>
          </c:tx>
          <c:layout>
            <c:manualLayout>
              <c:xMode val="edge"/>
              <c:yMode val="edge"/>
              <c:x val="1.62849872773537E-2"/>
              <c:y val="0.34790157257870402"/>
            </c:manualLayout>
          </c:layout>
          <c:overlay val="0"/>
        </c:title>
        <c:numFmt formatCode="#,##0" sourceLinked="0"/>
        <c:majorTickMark val="out"/>
        <c:minorTickMark val="none"/>
        <c:tickLblPos val="nextTo"/>
        <c:spPr>
          <a:ln>
            <a:solidFill>
              <a:schemeClr val="bg1">
                <a:lumMod val="50000"/>
              </a:schemeClr>
            </a:solidFill>
          </a:ln>
        </c:spPr>
        <c:txPr>
          <a:bodyPr/>
          <a:lstStyle/>
          <a:p>
            <a:pPr>
              <a:defRPr sz="1200">
                <a:latin typeface="+mn-lt"/>
                <a:cs typeface="Arial" panose="020B0604020202020204" pitchFamily="34" charset="0"/>
              </a:defRPr>
            </a:pPr>
            <a:endParaRPr lang="en-US"/>
          </a:p>
        </c:txPr>
        <c:crossAx val="411539536"/>
        <c:crosses val="autoZero"/>
        <c:crossBetween val="between"/>
      </c:valAx>
      <c:spPr>
        <a:ln>
          <a:solidFill>
            <a:schemeClr val="bg1">
              <a:lumMod val="50000"/>
            </a:schemeClr>
          </a:solidFill>
          <a:prstDash val="solid"/>
        </a:ln>
      </c:spPr>
    </c:plotArea>
    <c:plotVisOnly val="1"/>
    <c:dispBlanksAs val="gap"/>
    <c:showDLblsOverMax val="0"/>
  </c:chart>
  <c:printSettings>
    <c:headerFooter/>
    <c:pageMargins b="0.750000000000004" l="0.70000000000000095" r="0.70000000000000095" t="0.750000000000004"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469718140060849"/>
          <c:y val="0.14901950216041901"/>
          <c:w val="0.85446592494567353"/>
          <c:h val="0.68891197860574704"/>
        </c:manualLayout>
      </c:layout>
      <c:lineChart>
        <c:grouping val="standard"/>
        <c:varyColors val="0"/>
        <c:ser>
          <c:idx val="0"/>
          <c:order val="0"/>
          <c:tx>
            <c:strRef>
              <c:f>data!$I$176</c:f>
              <c:strCache>
                <c:ptCount val="1"/>
                <c:pt idx="0">
                  <c:v>LAADS DAAC</c:v>
                </c:pt>
              </c:strCache>
            </c:strRef>
          </c:tx>
          <c:marker>
            <c:symbol val="none"/>
          </c:marker>
          <c:cat>
            <c:strRef>
              <c:f>data!$A$177:$A$191</c:f>
              <c:strCache>
                <c:ptCount val="15"/>
                <c:pt idx="0">
                  <c:v>FY08</c:v>
                </c:pt>
                <c:pt idx="1">
                  <c:v>FY09</c:v>
                </c:pt>
                <c:pt idx="2">
                  <c:v>FY10</c:v>
                </c:pt>
                <c:pt idx="3">
                  <c:v>FY11</c:v>
                </c:pt>
                <c:pt idx="4">
                  <c:v>FY12</c:v>
                </c:pt>
                <c:pt idx="5">
                  <c:v>FY13</c:v>
                </c:pt>
                <c:pt idx="6">
                  <c:v>FY14</c:v>
                </c:pt>
                <c:pt idx="7">
                  <c:v>FY15</c:v>
                </c:pt>
                <c:pt idx="8">
                  <c:v>FY16</c:v>
                </c:pt>
                <c:pt idx="9">
                  <c:v>FY17</c:v>
                </c:pt>
                <c:pt idx="10">
                  <c:v>FY18</c:v>
                </c:pt>
                <c:pt idx="11">
                  <c:v>FY19</c:v>
                </c:pt>
                <c:pt idx="12">
                  <c:v>FY20</c:v>
                </c:pt>
                <c:pt idx="13">
                  <c:v>FY21</c:v>
                </c:pt>
                <c:pt idx="14">
                  <c:v>FY22</c:v>
                </c:pt>
              </c:strCache>
            </c:strRef>
          </c:cat>
          <c:val>
            <c:numRef>
              <c:f>data!$I$177:$I$191</c:f>
              <c:numCache>
                <c:formatCode>0.0%</c:formatCode>
                <c:ptCount val="15"/>
                <c:pt idx="0">
                  <c:v>0.37612140147288553</c:v>
                </c:pt>
                <c:pt idx="1">
                  <c:v>0.3058103975535168</c:v>
                </c:pt>
                <c:pt idx="2">
                  <c:v>0.31578103282369291</c:v>
                </c:pt>
                <c:pt idx="3">
                  <c:v>4.3380262737380361E-2</c:v>
                </c:pt>
                <c:pt idx="4">
                  <c:v>4.3854362508434164E-2</c:v>
                </c:pt>
                <c:pt idx="5">
                  <c:v>5.8026532011448598E-2</c:v>
                </c:pt>
                <c:pt idx="6">
                  <c:v>8.1791067069328469E-2</c:v>
                </c:pt>
                <c:pt idx="7">
                  <c:v>7.4258150022375985E-2</c:v>
                </c:pt>
                <c:pt idx="8">
                  <c:v>4.9782989069920694E-2</c:v>
                </c:pt>
                <c:pt idx="9">
                  <c:v>4.4672441541228819E-2</c:v>
                </c:pt>
                <c:pt idx="10">
                  <c:v>1.7952873706520385E-2</c:v>
                </c:pt>
                <c:pt idx="11">
                  <c:v>2.6685601841538575E-2</c:v>
                </c:pt>
              </c:numCache>
            </c:numRef>
          </c:val>
          <c:smooth val="0"/>
          <c:extLst>
            <c:ext xmlns:c16="http://schemas.microsoft.com/office/drawing/2014/chart" uri="{C3380CC4-5D6E-409C-BE32-E72D297353CC}">
              <c16:uniqueId val="{00000000-2F56-D443-9B6C-7B757CBED01F}"/>
            </c:ext>
          </c:extLst>
        </c:ser>
        <c:dLbls>
          <c:showLegendKey val="0"/>
          <c:showVal val="0"/>
          <c:showCatName val="0"/>
          <c:showSerName val="0"/>
          <c:showPercent val="0"/>
          <c:showBubbleSize val="0"/>
        </c:dLbls>
        <c:smooth val="0"/>
        <c:axId val="411537904"/>
        <c:axId val="411535728"/>
      </c:lineChart>
      <c:catAx>
        <c:axId val="411537904"/>
        <c:scaling>
          <c:orientation val="minMax"/>
        </c:scaling>
        <c:delete val="0"/>
        <c:axPos val="b"/>
        <c:title>
          <c:tx>
            <c:rich>
              <a:bodyPr/>
              <a:lstStyle/>
              <a:p>
                <a:pPr>
                  <a:defRPr sz="1200"/>
                </a:pPr>
                <a:r>
                  <a:rPr lang="en-US" sz="1200"/>
                  <a:t>Fiscal Year</a:t>
                </a:r>
              </a:p>
            </c:rich>
          </c:tx>
          <c:layout>
            <c:manualLayout>
              <c:xMode val="edge"/>
              <c:yMode val="edge"/>
              <c:x val="0.48422756091902203"/>
              <c:y val="0.91945592070692705"/>
            </c:manualLayout>
          </c:layout>
          <c:overlay val="0"/>
        </c:title>
        <c:numFmt formatCode="General" sourceLinked="0"/>
        <c:majorTickMark val="out"/>
        <c:minorTickMark val="none"/>
        <c:tickLblPos val="nextTo"/>
        <c:txPr>
          <a:bodyPr/>
          <a:lstStyle/>
          <a:p>
            <a:pPr>
              <a:defRPr sz="1200" b="0" baseline="0">
                <a:latin typeface="+mn-lt"/>
                <a:cs typeface="Arial" panose="020B0604020202020204" pitchFamily="34" charset="0"/>
              </a:defRPr>
            </a:pPr>
            <a:endParaRPr lang="en-US"/>
          </a:p>
        </c:txPr>
        <c:crossAx val="411535728"/>
        <c:crosses val="autoZero"/>
        <c:auto val="1"/>
        <c:lblAlgn val="ctr"/>
        <c:lblOffset val="100"/>
        <c:noMultiLvlLbl val="0"/>
      </c:catAx>
      <c:valAx>
        <c:axId val="411535728"/>
        <c:scaling>
          <c:orientation val="minMax"/>
        </c:scaling>
        <c:delete val="0"/>
        <c:axPos val="l"/>
        <c:majorGridlines/>
        <c:title>
          <c:tx>
            <c:rich>
              <a:bodyPr/>
              <a:lstStyle/>
              <a:p>
                <a:pPr>
                  <a:defRPr sz="1200"/>
                </a:pPr>
                <a:r>
                  <a:rPr lang="en-US" sz="1200"/>
                  <a:t>Percentage</a:t>
                </a:r>
              </a:p>
            </c:rich>
          </c:tx>
          <c:layout>
            <c:manualLayout>
              <c:xMode val="edge"/>
              <c:yMode val="edge"/>
              <c:x val="4.8473441747445998E-3"/>
              <c:y val="0.36539536980201598"/>
            </c:manualLayout>
          </c:layout>
          <c:overlay val="0"/>
        </c:title>
        <c:numFmt formatCode="0%" sourceLinked="0"/>
        <c:majorTickMark val="out"/>
        <c:minorTickMark val="none"/>
        <c:tickLblPos val="nextTo"/>
        <c:txPr>
          <a:bodyPr/>
          <a:lstStyle/>
          <a:p>
            <a:pPr>
              <a:defRPr sz="1200">
                <a:solidFill>
                  <a:sysClr val="windowText" lastClr="000000"/>
                </a:solidFill>
                <a:latin typeface="+mn-lt"/>
                <a:cs typeface="Arial" panose="020B0604020202020204" pitchFamily="34" charset="0"/>
              </a:defRPr>
            </a:pPr>
            <a:endParaRPr lang="en-US"/>
          </a:p>
        </c:txPr>
        <c:crossAx val="411537904"/>
        <c:crosses val="autoZero"/>
        <c:crossBetween val="between"/>
      </c:valAx>
      <c:spPr>
        <a:ln>
          <a:solidFill>
            <a:schemeClr val="bg1">
              <a:lumMod val="50000"/>
            </a:schemeClr>
          </a:solidFill>
          <a:prstDash val="solid"/>
        </a:ln>
      </c:spPr>
    </c:plotArea>
    <c:plotVisOnly val="1"/>
    <c:dispBlanksAs val="gap"/>
    <c:showDLblsOverMax val="0"/>
  </c:chart>
  <c:printSettings>
    <c:headerFooter/>
    <c:pageMargins b="0.750000000000004" l="0.70000000000000095" r="0.70000000000000095" t="0.750000000000004" header="0.3" footer="0.3"/>
    <c:pageSetup/>
  </c:printSettings>
  <c:userShapes r:id="rId1"/>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a:latin typeface="+mn-lt"/>
                <a:cs typeface="Arial" panose="020B0604020202020204" pitchFamily="34" charset="0"/>
              </a:defRPr>
            </a:pPr>
            <a:r>
              <a:rPr lang="en-US"/>
              <a:t>LAADS DAAC Multi-Year Product Distribution Trend</a:t>
            </a:r>
          </a:p>
        </c:rich>
      </c:tx>
      <c:layout>
        <c:manualLayout>
          <c:xMode val="edge"/>
          <c:yMode val="edge"/>
          <c:x val="0.219374642226661"/>
          <c:y val="4.2874122560153598E-2"/>
        </c:manualLayout>
      </c:layout>
      <c:overlay val="0"/>
    </c:title>
    <c:autoTitleDeleted val="0"/>
    <c:plotArea>
      <c:layout>
        <c:manualLayout>
          <c:layoutTarget val="inner"/>
          <c:xMode val="edge"/>
          <c:yMode val="edge"/>
          <c:x val="0.113107657173634"/>
          <c:y val="0.18225294239347301"/>
          <c:w val="0.85726272307204099"/>
          <c:h val="0.65529307668611403"/>
        </c:manualLayout>
      </c:layout>
      <c:barChart>
        <c:barDir val="col"/>
        <c:grouping val="clustered"/>
        <c:varyColors val="0"/>
        <c:ser>
          <c:idx val="0"/>
          <c:order val="0"/>
          <c:tx>
            <c:strRef>
              <c:f>Summary_data!$K$21</c:f>
              <c:strCache>
                <c:ptCount val="1"/>
                <c:pt idx="0">
                  <c:v>LAADS DAAC</c:v>
                </c:pt>
              </c:strCache>
            </c:strRef>
          </c:tx>
          <c:invertIfNegative val="0"/>
          <c:cat>
            <c:strRef>
              <c:f>Summary_data!$C$22:$C$40</c:f>
              <c:strCache>
                <c:ptCount val="19"/>
                <c:pt idx="0">
                  <c:v>FY07</c:v>
                </c:pt>
                <c:pt idx="1">
                  <c:v>FY08</c:v>
                </c:pt>
                <c:pt idx="2">
                  <c:v>FY09</c:v>
                </c:pt>
                <c:pt idx="3">
                  <c:v>FY10</c:v>
                </c:pt>
                <c:pt idx="4">
                  <c:v>FY11</c:v>
                </c:pt>
                <c:pt idx="5">
                  <c:v>FY12</c:v>
                </c:pt>
                <c:pt idx="6">
                  <c:v>FY13</c:v>
                </c:pt>
                <c:pt idx="7">
                  <c:v>FY14</c:v>
                </c:pt>
                <c:pt idx="8">
                  <c:v>FY15</c:v>
                </c:pt>
                <c:pt idx="9">
                  <c:v>FY16</c:v>
                </c:pt>
                <c:pt idx="10">
                  <c:v>FY17</c:v>
                </c:pt>
                <c:pt idx="11">
                  <c:v>FY18</c:v>
                </c:pt>
                <c:pt idx="12">
                  <c:v>FY19</c:v>
                </c:pt>
                <c:pt idx="13">
                  <c:v>FY20</c:v>
                </c:pt>
                <c:pt idx="14">
                  <c:v>FY21</c:v>
                </c:pt>
                <c:pt idx="15">
                  <c:v>FY22</c:v>
                </c:pt>
                <c:pt idx="16">
                  <c:v>FY23</c:v>
                </c:pt>
                <c:pt idx="17">
                  <c:v>FY24</c:v>
                </c:pt>
                <c:pt idx="18">
                  <c:v>FY25</c:v>
                </c:pt>
              </c:strCache>
            </c:strRef>
          </c:cat>
          <c:val>
            <c:numRef>
              <c:f>Summary_data!$K$22:$K$40</c:f>
              <c:numCache>
                <c:formatCode>_(* #,##0.0_);_(* \(#,##0.0\);_(* "-"??_);_(@_)</c:formatCode>
                <c:ptCount val="19"/>
                <c:pt idx="0">
                  <c:v>33.570419000000001</c:v>
                </c:pt>
                <c:pt idx="1">
                  <c:v>47.736139999999999</c:v>
                </c:pt>
                <c:pt idx="2">
                  <c:v>47.205446000000002</c:v>
                </c:pt>
                <c:pt idx="3">
                  <c:v>79.756398000000004</c:v>
                </c:pt>
                <c:pt idx="4">
                  <c:v>98.766036999999997</c:v>
                </c:pt>
                <c:pt idx="5">
                  <c:v>95.246110000000002</c:v>
                </c:pt>
                <c:pt idx="6">
                  <c:v>135.28649799999999</c:v>
                </c:pt>
                <c:pt idx="7">
                  <c:v>196.13767899999999</c:v>
                </c:pt>
                <c:pt idx="8">
                  <c:v>360.64454699999999</c:v>
                </c:pt>
                <c:pt idx="9">
                  <c:v>230.71311800000001</c:v>
                </c:pt>
                <c:pt idx="10">
                  <c:v>107.761906</c:v>
                </c:pt>
                <c:pt idx="11">
                  <c:v>239.952279</c:v>
                </c:pt>
                <c:pt idx="12">
                  <c:v>371.42471999999998</c:v>
                </c:pt>
                <c:pt idx="13">
                  <c:v>455.37547700000005</c:v>
                </c:pt>
                <c:pt idx="14">
                  <c:v>536.58246099999997</c:v>
                </c:pt>
                <c:pt idx="15">
                  <c:v>677.69295699999998</c:v>
                </c:pt>
                <c:pt idx="16">
                  <c:v>401.48317900000001</c:v>
                </c:pt>
                <c:pt idx="17">
                  <c:v>491.25263100000001</c:v>
                </c:pt>
                <c:pt idx="18">
                  <c:v>898.25093600000002</c:v>
                </c:pt>
              </c:numCache>
            </c:numRef>
          </c:val>
          <c:extLst>
            <c:ext xmlns:c16="http://schemas.microsoft.com/office/drawing/2014/chart" uri="{C3380CC4-5D6E-409C-BE32-E72D297353CC}">
              <c16:uniqueId val="{00000000-3229-4249-8D4A-C2A56BCD2A08}"/>
            </c:ext>
          </c:extLst>
        </c:ser>
        <c:dLbls>
          <c:showLegendKey val="0"/>
          <c:showVal val="0"/>
          <c:showCatName val="0"/>
          <c:showSerName val="0"/>
          <c:showPercent val="0"/>
          <c:showBubbleSize val="0"/>
        </c:dLbls>
        <c:gapWidth val="150"/>
        <c:axId val="411537360"/>
        <c:axId val="411538992"/>
      </c:barChart>
      <c:catAx>
        <c:axId val="411537360"/>
        <c:scaling>
          <c:orientation val="minMax"/>
        </c:scaling>
        <c:delete val="0"/>
        <c:axPos val="b"/>
        <c:title>
          <c:tx>
            <c:rich>
              <a:bodyPr/>
              <a:lstStyle/>
              <a:p>
                <a:pPr>
                  <a:defRPr sz="1200"/>
                </a:pPr>
                <a:r>
                  <a:rPr lang="en-US" sz="1200"/>
                  <a:t>Fiscal Year</a:t>
                </a:r>
              </a:p>
            </c:rich>
          </c:tx>
          <c:layout>
            <c:manualLayout>
              <c:xMode val="edge"/>
              <c:yMode val="edge"/>
              <c:x val="0.51269424232162897"/>
              <c:y val="0.91856945601153805"/>
            </c:manualLayout>
          </c:layout>
          <c:overlay val="0"/>
        </c:title>
        <c:numFmt formatCode="General" sourceLinked="0"/>
        <c:majorTickMark val="out"/>
        <c:minorTickMark val="none"/>
        <c:tickLblPos val="nextTo"/>
        <c:txPr>
          <a:bodyPr/>
          <a:lstStyle/>
          <a:p>
            <a:pPr>
              <a:defRPr sz="1200" b="0" baseline="0">
                <a:latin typeface="+mn-lt"/>
                <a:cs typeface="Arial" panose="020B0604020202020204" pitchFamily="34" charset="0"/>
              </a:defRPr>
            </a:pPr>
            <a:endParaRPr lang="en-US"/>
          </a:p>
        </c:txPr>
        <c:crossAx val="411538992"/>
        <c:crosses val="autoZero"/>
        <c:auto val="1"/>
        <c:lblAlgn val="ctr"/>
        <c:lblOffset val="100"/>
        <c:noMultiLvlLbl val="0"/>
      </c:catAx>
      <c:valAx>
        <c:axId val="411538992"/>
        <c:scaling>
          <c:orientation val="minMax"/>
        </c:scaling>
        <c:delete val="0"/>
        <c:axPos val="l"/>
        <c:majorGridlines/>
        <c:title>
          <c:tx>
            <c:rich>
              <a:bodyPr/>
              <a:lstStyle/>
              <a:p>
                <a:pPr>
                  <a:defRPr sz="1200"/>
                </a:pPr>
                <a:r>
                  <a:rPr lang="en-US" sz="1200"/>
                  <a:t>Product Distributed (Millions)</a:t>
                </a:r>
              </a:p>
            </c:rich>
          </c:tx>
          <c:layout>
            <c:manualLayout>
              <c:xMode val="edge"/>
              <c:yMode val="edge"/>
              <c:x val="1.6285028493567399E-2"/>
              <c:y val="0.17328868888728299"/>
            </c:manualLayout>
          </c:layout>
          <c:overlay val="0"/>
        </c:title>
        <c:numFmt formatCode="#,##0" sourceLinked="0"/>
        <c:majorTickMark val="out"/>
        <c:minorTickMark val="none"/>
        <c:tickLblPos val="nextTo"/>
        <c:spPr>
          <a:ln>
            <a:solidFill>
              <a:schemeClr val="bg1">
                <a:lumMod val="50000"/>
              </a:schemeClr>
            </a:solidFill>
          </a:ln>
        </c:spPr>
        <c:txPr>
          <a:bodyPr/>
          <a:lstStyle/>
          <a:p>
            <a:pPr>
              <a:defRPr sz="1200">
                <a:latin typeface="+mn-lt"/>
                <a:cs typeface="Arial" panose="020B0604020202020204" pitchFamily="34" charset="0"/>
              </a:defRPr>
            </a:pPr>
            <a:endParaRPr lang="en-US"/>
          </a:p>
        </c:txPr>
        <c:crossAx val="411537360"/>
        <c:crosses val="autoZero"/>
        <c:crossBetween val="between"/>
      </c:valAx>
      <c:spPr>
        <a:ln>
          <a:solidFill>
            <a:schemeClr val="bg1">
              <a:lumMod val="50000"/>
            </a:schemeClr>
          </a:solidFill>
          <a:prstDash val="solid"/>
        </a:ln>
      </c:spPr>
    </c:plotArea>
    <c:plotVisOnly val="1"/>
    <c:dispBlanksAs val="gap"/>
    <c:showDLblsOverMax val="0"/>
  </c:chart>
  <c:printSettings>
    <c:headerFooter/>
    <c:pageMargins b="0.750000000000004" l="0.70000000000000095" r="0.70000000000000095" t="0.750000000000004"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64617039265194"/>
          <c:y val="0.143607581541664"/>
          <c:w val="0.798349496295651"/>
          <c:h val="0.70576857582792596"/>
        </c:manualLayout>
      </c:layout>
      <c:barChart>
        <c:barDir val="col"/>
        <c:grouping val="clustered"/>
        <c:varyColors val="0"/>
        <c:ser>
          <c:idx val="0"/>
          <c:order val="0"/>
          <c:tx>
            <c:strRef>
              <c:f>data!$W$283</c:f>
              <c:strCache>
                <c:ptCount val="1"/>
                <c:pt idx="0">
                  <c:v>VISITS</c:v>
                </c:pt>
              </c:strCache>
            </c:strRef>
          </c:tx>
          <c:invertIfNegative val="0"/>
          <c:cat>
            <c:strRef>
              <c:f>data!$A$284:$A$302</c:f>
              <c:strCache>
                <c:ptCount val="19"/>
                <c:pt idx="0">
                  <c:v>FY07</c:v>
                </c:pt>
                <c:pt idx="1">
                  <c:v>FY08</c:v>
                </c:pt>
                <c:pt idx="2">
                  <c:v>FY09</c:v>
                </c:pt>
                <c:pt idx="3">
                  <c:v>FY10</c:v>
                </c:pt>
                <c:pt idx="4">
                  <c:v>FY11</c:v>
                </c:pt>
                <c:pt idx="5">
                  <c:v>FY12</c:v>
                </c:pt>
                <c:pt idx="6">
                  <c:v>FY13</c:v>
                </c:pt>
                <c:pt idx="7">
                  <c:v>FY14</c:v>
                </c:pt>
                <c:pt idx="8">
                  <c:v>FY15</c:v>
                </c:pt>
                <c:pt idx="9">
                  <c:v>FY16</c:v>
                </c:pt>
                <c:pt idx="10">
                  <c:v>FY17</c:v>
                </c:pt>
                <c:pt idx="11">
                  <c:v>FY18</c:v>
                </c:pt>
                <c:pt idx="12">
                  <c:v>FY19</c:v>
                </c:pt>
                <c:pt idx="13">
                  <c:v>FY20</c:v>
                </c:pt>
                <c:pt idx="14">
                  <c:v>FY21</c:v>
                </c:pt>
                <c:pt idx="15">
                  <c:v>FY22</c:v>
                </c:pt>
                <c:pt idx="16">
                  <c:v>FY23</c:v>
                </c:pt>
                <c:pt idx="17">
                  <c:v>FY24</c:v>
                </c:pt>
                <c:pt idx="18">
                  <c:v>FY25</c:v>
                </c:pt>
              </c:strCache>
            </c:strRef>
          </c:cat>
          <c:val>
            <c:numRef>
              <c:f>data!$W$284:$W$302</c:f>
              <c:numCache>
                <c:formatCode>_(* #,##0_);_(* \(#,##0\);_(* "-"??_);_(@_)</c:formatCode>
                <c:ptCount val="19"/>
                <c:pt idx="0">
                  <c:v>53574</c:v>
                </c:pt>
                <c:pt idx="1">
                  <c:v>64290</c:v>
                </c:pt>
                <c:pt idx="2">
                  <c:v>74206</c:v>
                </c:pt>
                <c:pt idx="3">
                  <c:v>87176</c:v>
                </c:pt>
                <c:pt idx="4">
                  <c:v>230192</c:v>
                </c:pt>
                <c:pt idx="5">
                  <c:v>652612</c:v>
                </c:pt>
                <c:pt idx="6">
                  <c:v>605342</c:v>
                </c:pt>
                <c:pt idx="7">
                  <c:v>466031</c:v>
                </c:pt>
                <c:pt idx="8">
                  <c:v>443373</c:v>
                </c:pt>
                <c:pt idx="9">
                  <c:v>412847</c:v>
                </c:pt>
                <c:pt idx="10">
                  <c:v>301594</c:v>
                </c:pt>
                <c:pt idx="11">
                  <c:v>217721</c:v>
                </c:pt>
                <c:pt idx="12">
                  <c:v>122447</c:v>
                </c:pt>
                <c:pt idx="13">
                  <c:v>179846</c:v>
                </c:pt>
                <c:pt idx="14">
                  <c:v>233162</c:v>
                </c:pt>
                <c:pt idx="15">
                  <c:v>216175</c:v>
                </c:pt>
                <c:pt idx="16">
                  <c:v>176742</c:v>
                </c:pt>
                <c:pt idx="17">
                  <c:v>478823</c:v>
                </c:pt>
                <c:pt idx="18">
                  <c:v>37499</c:v>
                </c:pt>
              </c:numCache>
            </c:numRef>
          </c:val>
          <c:extLst>
            <c:ext xmlns:c16="http://schemas.microsoft.com/office/drawing/2014/chart" uri="{C3380CC4-5D6E-409C-BE32-E72D297353CC}">
              <c16:uniqueId val="{00000000-4700-9544-902F-87D7ADC48003}"/>
            </c:ext>
          </c:extLst>
        </c:ser>
        <c:ser>
          <c:idx val="1"/>
          <c:order val="1"/>
          <c:tx>
            <c:strRef>
              <c:f>data!$X$283</c:f>
              <c:strCache>
                <c:ptCount val="1"/>
                <c:pt idx="0">
                  <c:v>VIEWS</c:v>
                </c:pt>
              </c:strCache>
            </c:strRef>
          </c:tx>
          <c:invertIfNegative val="0"/>
          <c:cat>
            <c:strRef>
              <c:f>data!$A$284:$A$302</c:f>
              <c:strCache>
                <c:ptCount val="19"/>
                <c:pt idx="0">
                  <c:v>FY07</c:v>
                </c:pt>
                <c:pt idx="1">
                  <c:v>FY08</c:v>
                </c:pt>
                <c:pt idx="2">
                  <c:v>FY09</c:v>
                </c:pt>
                <c:pt idx="3">
                  <c:v>FY10</c:v>
                </c:pt>
                <c:pt idx="4">
                  <c:v>FY11</c:v>
                </c:pt>
                <c:pt idx="5">
                  <c:v>FY12</c:v>
                </c:pt>
                <c:pt idx="6">
                  <c:v>FY13</c:v>
                </c:pt>
                <c:pt idx="7">
                  <c:v>FY14</c:v>
                </c:pt>
                <c:pt idx="8">
                  <c:v>FY15</c:v>
                </c:pt>
                <c:pt idx="9">
                  <c:v>FY16</c:v>
                </c:pt>
                <c:pt idx="10">
                  <c:v>FY17</c:v>
                </c:pt>
                <c:pt idx="11">
                  <c:v>FY18</c:v>
                </c:pt>
                <c:pt idx="12">
                  <c:v>FY19</c:v>
                </c:pt>
                <c:pt idx="13">
                  <c:v>FY20</c:v>
                </c:pt>
                <c:pt idx="14">
                  <c:v>FY21</c:v>
                </c:pt>
                <c:pt idx="15">
                  <c:v>FY22</c:v>
                </c:pt>
                <c:pt idx="16">
                  <c:v>FY23</c:v>
                </c:pt>
                <c:pt idx="17">
                  <c:v>FY24</c:v>
                </c:pt>
                <c:pt idx="18">
                  <c:v>FY25</c:v>
                </c:pt>
              </c:strCache>
            </c:strRef>
          </c:cat>
          <c:val>
            <c:numRef>
              <c:f>data!$X$284:$X$302</c:f>
              <c:numCache>
                <c:formatCode>_(* #,##0_);_(* \(#,##0\);_(* "-"??_);_(@_)</c:formatCode>
                <c:ptCount val="19"/>
                <c:pt idx="0">
                  <c:v>979938</c:v>
                </c:pt>
                <c:pt idx="1">
                  <c:v>1137682</c:v>
                </c:pt>
                <c:pt idx="2">
                  <c:v>1298537</c:v>
                </c:pt>
                <c:pt idx="3">
                  <c:v>1513257</c:v>
                </c:pt>
                <c:pt idx="4">
                  <c:v>3059401</c:v>
                </c:pt>
                <c:pt idx="5">
                  <c:v>7811167</c:v>
                </c:pt>
                <c:pt idx="6">
                  <c:v>7137162</c:v>
                </c:pt>
                <c:pt idx="7">
                  <c:v>5830786</c:v>
                </c:pt>
                <c:pt idx="8">
                  <c:v>5429821</c:v>
                </c:pt>
                <c:pt idx="9">
                  <c:v>4971411</c:v>
                </c:pt>
                <c:pt idx="10">
                  <c:v>3294341</c:v>
                </c:pt>
                <c:pt idx="11">
                  <c:v>3095213</c:v>
                </c:pt>
                <c:pt idx="12">
                  <c:v>880907</c:v>
                </c:pt>
                <c:pt idx="13">
                  <c:v>1336270</c:v>
                </c:pt>
                <c:pt idx="14">
                  <c:v>1894087</c:v>
                </c:pt>
                <c:pt idx="15">
                  <c:v>1853769</c:v>
                </c:pt>
                <c:pt idx="16">
                  <c:v>864500</c:v>
                </c:pt>
                <c:pt idx="17">
                  <c:v>4454013</c:v>
                </c:pt>
                <c:pt idx="18">
                  <c:v>26434</c:v>
                </c:pt>
              </c:numCache>
            </c:numRef>
          </c:val>
          <c:extLst>
            <c:ext xmlns:c16="http://schemas.microsoft.com/office/drawing/2014/chart" uri="{C3380CC4-5D6E-409C-BE32-E72D297353CC}">
              <c16:uniqueId val="{00000003-4700-9544-902F-87D7ADC48003}"/>
            </c:ext>
          </c:extLst>
        </c:ser>
        <c:ser>
          <c:idx val="2"/>
          <c:order val="2"/>
          <c:tx>
            <c:strRef>
              <c:f>data!$Y$283</c:f>
              <c:strCache>
                <c:ptCount val="1"/>
                <c:pt idx="0">
                  <c:v>VISITORS</c:v>
                </c:pt>
              </c:strCache>
            </c:strRef>
          </c:tx>
          <c:invertIfNegative val="0"/>
          <c:cat>
            <c:strRef>
              <c:f>data!$A$284:$A$302</c:f>
              <c:strCache>
                <c:ptCount val="19"/>
                <c:pt idx="0">
                  <c:v>FY07</c:v>
                </c:pt>
                <c:pt idx="1">
                  <c:v>FY08</c:v>
                </c:pt>
                <c:pt idx="2">
                  <c:v>FY09</c:v>
                </c:pt>
                <c:pt idx="3">
                  <c:v>FY10</c:v>
                </c:pt>
                <c:pt idx="4">
                  <c:v>FY11</c:v>
                </c:pt>
                <c:pt idx="5">
                  <c:v>FY12</c:v>
                </c:pt>
                <c:pt idx="6">
                  <c:v>FY13</c:v>
                </c:pt>
                <c:pt idx="7">
                  <c:v>FY14</c:v>
                </c:pt>
                <c:pt idx="8">
                  <c:v>FY15</c:v>
                </c:pt>
                <c:pt idx="9">
                  <c:v>FY16</c:v>
                </c:pt>
                <c:pt idx="10">
                  <c:v>FY17</c:v>
                </c:pt>
                <c:pt idx="11">
                  <c:v>FY18</c:v>
                </c:pt>
                <c:pt idx="12">
                  <c:v>FY19</c:v>
                </c:pt>
                <c:pt idx="13">
                  <c:v>FY20</c:v>
                </c:pt>
                <c:pt idx="14">
                  <c:v>FY21</c:v>
                </c:pt>
                <c:pt idx="15">
                  <c:v>FY22</c:v>
                </c:pt>
                <c:pt idx="16">
                  <c:v>FY23</c:v>
                </c:pt>
                <c:pt idx="17">
                  <c:v>FY24</c:v>
                </c:pt>
                <c:pt idx="18">
                  <c:v>FY25</c:v>
                </c:pt>
              </c:strCache>
            </c:strRef>
          </c:cat>
          <c:val>
            <c:numRef>
              <c:f>data!$Y$284:$Y$302</c:f>
              <c:numCache>
                <c:formatCode>_(* #,##0_);_(* \(#,##0\);_(* "-"??_);_(@_)</c:formatCode>
                <c:ptCount val="19"/>
                <c:pt idx="0">
                  <c:v>17740</c:v>
                </c:pt>
                <c:pt idx="1">
                  <c:v>22482</c:v>
                </c:pt>
                <c:pt idx="2">
                  <c:v>29103</c:v>
                </c:pt>
                <c:pt idx="3">
                  <c:v>37412</c:v>
                </c:pt>
                <c:pt idx="4">
                  <c:v>118902</c:v>
                </c:pt>
                <c:pt idx="5">
                  <c:v>343312</c:v>
                </c:pt>
                <c:pt idx="6">
                  <c:v>310180</c:v>
                </c:pt>
                <c:pt idx="7">
                  <c:v>244340</c:v>
                </c:pt>
                <c:pt idx="8">
                  <c:v>232392</c:v>
                </c:pt>
                <c:pt idx="9">
                  <c:v>220035</c:v>
                </c:pt>
                <c:pt idx="10">
                  <c:v>169008</c:v>
                </c:pt>
                <c:pt idx="11">
                  <c:v>136357</c:v>
                </c:pt>
                <c:pt idx="12">
                  <c:v>62430</c:v>
                </c:pt>
                <c:pt idx="13">
                  <c:v>82313</c:v>
                </c:pt>
                <c:pt idx="14">
                  <c:v>127712</c:v>
                </c:pt>
                <c:pt idx="15">
                  <c:v>93361</c:v>
                </c:pt>
                <c:pt idx="16">
                  <c:v>112207</c:v>
                </c:pt>
                <c:pt idx="17">
                  <c:v>295965</c:v>
                </c:pt>
                <c:pt idx="18">
                  <c:v>31351</c:v>
                </c:pt>
              </c:numCache>
            </c:numRef>
          </c:val>
          <c:extLst>
            <c:ext xmlns:c16="http://schemas.microsoft.com/office/drawing/2014/chart" uri="{C3380CC4-5D6E-409C-BE32-E72D297353CC}">
              <c16:uniqueId val="{00000004-4700-9544-902F-87D7ADC48003}"/>
            </c:ext>
          </c:extLst>
        </c:ser>
        <c:dLbls>
          <c:showLegendKey val="0"/>
          <c:showVal val="0"/>
          <c:showCatName val="0"/>
          <c:showSerName val="0"/>
          <c:showPercent val="0"/>
          <c:showBubbleSize val="0"/>
        </c:dLbls>
        <c:gapWidth val="219"/>
        <c:overlap val="-27"/>
        <c:axId val="411525392"/>
        <c:axId val="411534640"/>
      </c:barChart>
      <c:catAx>
        <c:axId val="411525392"/>
        <c:scaling>
          <c:orientation val="minMax"/>
        </c:scaling>
        <c:delete val="0"/>
        <c:axPos val="b"/>
        <c:title>
          <c:tx>
            <c:rich>
              <a:bodyPr rot="0" spcFirstLastPara="1" vertOverflow="ellipsis" vert="horz" wrap="square" anchor="ctr" anchorCtr="1"/>
              <a:lstStyle/>
              <a:p>
                <a:pPr>
                  <a:defRPr sz="1200" b="1" i="0" u="none" strike="noStrike" kern="1200" baseline="0">
                    <a:solidFill>
                      <a:sysClr val="windowText" lastClr="000000"/>
                    </a:solidFill>
                    <a:latin typeface="+mn-lt"/>
                    <a:ea typeface="+mn-ea"/>
                    <a:cs typeface="+mn-cs"/>
                  </a:defRPr>
                </a:pPr>
                <a:r>
                  <a:rPr lang="en-US" sz="1200" b="1">
                    <a:solidFill>
                      <a:sysClr val="windowText" lastClr="000000"/>
                    </a:solidFill>
                  </a:rPr>
                  <a:t>Fiscal Year</a:t>
                </a:r>
              </a:p>
            </c:rich>
          </c:tx>
          <c:layout>
            <c:manualLayout>
              <c:xMode val="edge"/>
              <c:yMode val="edge"/>
              <c:x val="0.52015726535887796"/>
              <c:y val="0.92867232948051204"/>
            </c:manualLayout>
          </c:layout>
          <c:overlay val="0"/>
          <c:spPr>
            <a:noFill/>
            <a:ln>
              <a:noFill/>
            </a:ln>
            <a:effectLst/>
          </c:spPr>
        </c:title>
        <c:numFmt formatCode="General" sourceLinked="1"/>
        <c:majorTickMark val="out"/>
        <c:minorTickMark val="none"/>
        <c:tickLblPos val="nextTo"/>
        <c:spPr>
          <a:noFill/>
          <a:ln w="12700" cap="flat" cmpd="sng" algn="ctr">
            <a:solidFill>
              <a:schemeClr val="bg1">
                <a:lumMod val="50000"/>
              </a:schemeClr>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en-US"/>
          </a:p>
        </c:txPr>
        <c:crossAx val="411534640"/>
        <c:crosses val="autoZero"/>
        <c:auto val="1"/>
        <c:lblAlgn val="ctr"/>
        <c:lblOffset val="100"/>
        <c:noMultiLvlLbl val="0"/>
      </c:catAx>
      <c:valAx>
        <c:axId val="411534640"/>
        <c:scaling>
          <c:orientation val="minMax"/>
        </c:scaling>
        <c:delete val="0"/>
        <c:axPos val="l"/>
        <c:majorGridlines>
          <c:spPr>
            <a:ln w="9525" cap="flat" cmpd="sng" algn="ctr">
              <a:solidFill>
                <a:schemeClr val="bg1">
                  <a:lumMod val="50000"/>
                </a:schemeClr>
              </a:solidFill>
              <a:round/>
            </a:ln>
            <a:effectLst/>
          </c:spPr>
        </c:majorGridlines>
        <c:title>
          <c:tx>
            <c:rich>
              <a:bodyPr rot="-5400000" spcFirstLastPara="1" vertOverflow="ellipsis" vert="horz" wrap="square" anchor="ctr" anchorCtr="1"/>
              <a:lstStyle/>
              <a:p>
                <a:pPr>
                  <a:defRPr sz="1200" b="1" i="0" u="none" strike="noStrike" kern="1200" baseline="0">
                    <a:solidFill>
                      <a:sysClr val="windowText" lastClr="000000"/>
                    </a:solidFill>
                    <a:latin typeface="+mn-lt"/>
                    <a:ea typeface="+mn-ea"/>
                    <a:cs typeface="+mn-cs"/>
                  </a:defRPr>
                </a:pPr>
                <a:r>
                  <a:rPr lang="en-US" sz="1200" b="1">
                    <a:solidFill>
                      <a:sysClr val="windowText" lastClr="000000"/>
                    </a:solidFill>
                  </a:rPr>
                  <a:t>Number </a:t>
                </a:r>
              </a:p>
            </c:rich>
          </c:tx>
          <c:layout>
            <c:manualLayout>
              <c:xMode val="edge"/>
              <c:yMode val="edge"/>
              <c:x val="3.3999234192006499E-3"/>
              <c:y val="0.346614823753157"/>
            </c:manualLayout>
          </c:layout>
          <c:overlay val="0"/>
          <c:spPr>
            <a:noFill/>
            <a:ln>
              <a:noFill/>
            </a:ln>
            <a:effectLst/>
          </c:spPr>
        </c:title>
        <c:numFmt formatCode="#,##0" sourceLinked="0"/>
        <c:majorTickMark val="out"/>
        <c:minorTickMark val="none"/>
        <c:tickLblPos val="nextTo"/>
        <c:spPr>
          <a:noFill/>
          <a:ln>
            <a:solidFill>
              <a:schemeClr val="bg1">
                <a:lumMod val="50000"/>
              </a:schemeClr>
            </a:solid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en-US"/>
          </a:p>
        </c:txPr>
        <c:crossAx val="411525392"/>
        <c:crosses val="autoZero"/>
        <c:crossBetween val="between"/>
      </c:valAx>
      <c:spPr>
        <a:noFill/>
        <a:ln>
          <a:solidFill>
            <a:schemeClr val="bg1">
              <a:lumMod val="50000"/>
            </a:schemeClr>
          </a:solidFill>
        </a:ln>
        <a:effectLst/>
      </c:spPr>
    </c:plotArea>
    <c:legend>
      <c:legendPos val="b"/>
      <c:layout>
        <c:manualLayout>
          <c:xMode val="edge"/>
          <c:yMode val="edge"/>
          <c:x val="0.37711879662403353"/>
          <c:y val="0.15004639846534151"/>
          <c:w val="0.29596809593234891"/>
          <c:h val="0.10609638087865299"/>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bg1">
          <a:lumMod val="50000"/>
        </a:schemeClr>
      </a:solidFill>
      <a:round/>
    </a:ln>
    <a:effectLst/>
  </c:spPr>
  <c:txPr>
    <a:bodyPr/>
    <a:lstStyle/>
    <a:p>
      <a:pPr>
        <a:defRPr/>
      </a:pPr>
      <a:endParaRPr lang="en-US"/>
    </a:p>
  </c:txPr>
  <c:printSettings>
    <c:headerFooter/>
    <c:pageMargins b="0.75" l="0.7" r="0.7" t="0.75" header="0.3" footer="0.3"/>
    <c:pageSetup/>
  </c:printSettings>
  <c:userShapes r:id="rId1"/>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a:latin typeface="+mn-lt"/>
                <a:cs typeface="Arial" panose="020B0604020202020204" pitchFamily="34" charset="0"/>
              </a:defRPr>
            </a:pPr>
            <a:r>
              <a:rPr lang="en-US"/>
              <a:t>LPDAAC Multi-Year Total Archive Volume Trend</a:t>
            </a:r>
          </a:p>
        </c:rich>
      </c:tx>
      <c:layout>
        <c:manualLayout>
          <c:xMode val="edge"/>
          <c:yMode val="edge"/>
          <c:x val="0.223544133657093"/>
          <c:y val="3.8412164179890997E-2"/>
        </c:manualLayout>
      </c:layout>
      <c:overlay val="0"/>
    </c:title>
    <c:autoTitleDeleted val="0"/>
    <c:plotArea>
      <c:layout>
        <c:manualLayout>
          <c:layoutTarget val="inner"/>
          <c:xMode val="edge"/>
          <c:yMode val="edge"/>
          <c:x val="0.156188786714438"/>
          <c:y val="0.18228668594254499"/>
          <c:w val="0.80487043883359"/>
          <c:h val="0.65076746334831104"/>
        </c:manualLayout>
      </c:layout>
      <c:barChart>
        <c:barDir val="col"/>
        <c:grouping val="clustered"/>
        <c:varyColors val="0"/>
        <c:ser>
          <c:idx val="0"/>
          <c:order val="0"/>
          <c:tx>
            <c:strRef>
              <c:f>data!$H$156</c:f>
              <c:strCache>
                <c:ptCount val="1"/>
                <c:pt idx="0">
                  <c:v>LP DAAC</c:v>
                </c:pt>
              </c:strCache>
            </c:strRef>
          </c:tx>
          <c:spPr>
            <a:solidFill>
              <a:schemeClr val="accent2">
                <a:lumMod val="75000"/>
              </a:schemeClr>
            </a:solidFill>
          </c:spPr>
          <c:invertIfNegative val="0"/>
          <c:cat>
            <c:strRef>
              <c:f>data!$A$157:$A$174</c:f>
              <c:strCache>
                <c:ptCount val="18"/>
                <c:pt idx="0">
                  <c:v>FY08</c:v>
                </c:pt>
                <c:pt idx="1">
                  <c:v>FY09</c:v>
                </c:pt>
                <c:pt idx="2">
                  <c:v>FY10</c:v>
                </c:pt>
                <c:pt idx="3">
                  <c:v>FY11</c:v>
                </c:pt>
                <c:pt idx="4">
                  <c:v>FY12</c:v>
                </c:pt>
                <c:pt idx="5">
                  <c:v>FY13</c:v>
                </c:pt>
                <c:pt idx="6">
                  <c:v>FY14</c:v>
                </c:pt>
                <c:pt idx="7">
                  <c:v>FY15</c:v>
                </c:pt>
                <c:pt idx="8">
                  <c:v>FY16</c:v>
                </c:pt>
                <c:pt idx="9">
                  <c:v>FY17</c:v>
                </c:pt>
                <c:pt idx="10">
                  <c:v>FY18</c:v>
                </c:pt>
                <c:pt idx="11">
                  <c:v>FY19</c:v>
                </c:pt>
                <c:pt idx="12">
                  <c:v>FY20</c:v>
                </c:pt>
                <c:pt idx="13">
                  <c:v>FY21</c:v>
                </c:pt>
                <c:pt idx="14">
                  <c:v>FY22</c:v>
                </c:pt>
                <c:pt idx="15">
                  <c:v>FY23</c:v>
                </c:pt>
                <c:pt idx="16">
                  <c:v>FY24</c:v>
                </c:pt>
                <c:pt idx="17">
                  <c:v>FY25</c:v>
                </c:pt>
              </c:strCache>
            </c:strRef>
          </c:cat>
          <c:val>
            <c:numRef>
              <c:f>data!$H$157:$H$174</c:f>
              <c:numCache>
                <c:formatCode>_(* #,##0.00_);_(* \(#,##0.00\);_(* "-"??_);_(@_)</c:formatCode>
                <c:ptCount val="18"/>
                <c:pt idx="0">
                  <c:v>1761.525625</c:v>
                </c:pt>
                <c:pt idx="1">
                  <c:v>759.51099999999997</c:v>
                </c:pt>
                <c:pt idx="2">
                  <c:v>822.25268164062504</c:v>
                </c:pt>
                <c:pt idx="3">
                  <c:v>898.95026074218754</c:v>
                </c:pt>
                <c:pt idx="4">
                  <c:v>954.17966796874998</c:v>
                </c:pt>
                <c:pt idx="5">
                  <c:v>1066.3169921875001</c:v>
                </c:pt>
                <c:pt idx="6">
                  <c:v>1131.1058336851804</c:v>
                </c:pt>
                <c:pt idx="7">
                  <c:v>2468.4033984375001</c:v>
                </c:pt>
                <c:pt idx="8">
                  <c:v>2933.262939453125</c:v>
                </c:pt>
                <c:pt idx="9">
                  <c:v>3104.99</c:v>
                </c:pt>
                <c:pt idx="10">
                  <c:v>3005.56</c:v>
                </c:pt>
                <c:pt idx="11">
                  <c:v>3322.23</c:v>
                </c:pt>
                <c:pt idx="12">
                  <c:v>5008.8744433593747</c:v>
                </c:pt>
                <c:pt idx="13">
                  <c:v>7258.2962304687508</c:v>
                </c:pt>
                <c:pt idx="14">
                  <c:v>12406.71533203125</c:v>
                </c:pt>
                <c:pt idx="15">
                  <c:v>17582.366046578623</c:v>
                </c:pt>
                <c:pt idx="16">
                  <c:v>21692.867177734377</c:v>
                </c:pt>
                <c:pt idx="17">
                  <c:v>24844.800576171878</c:v>
                </c:pt>
              </c:numCache>
            </c:numRef>
          </c:val>
          <c:extLst>
            <c:ext xmlns:c16="http://schemas.microsoft.com/office/drawing/2014/chart" uri="{C3380CC4-5D6E-409C-BE32-E72D297353CC}">
              <c16:uniqueId val="{00000000-0093-6E46-BA57-A2C225EF189E}"/>
            </c:ext>
          </c:extLst>
        </c:ser>
        <c:dLbls>
          <c:showLegendKey val="0"/>
          <c:showVal val="0"/>
          <c:showCatName val="0"/>
          <c:showSerName val="0"/>
          <c:showPercent val="0"/>
          <c:showBubbleSize val="0"/>
        </c:dLbls>
        <c:gapWidth val="150"/>
        <c:axId val="412583424"/>
        <c:axId val="412591584"/>
      </c:barChart>
      <c:catAx>
        <c:axId val="412583424"/>
        <c:scaling>
          <c:orientation val="minMax"/>
        </c:scaling>
        <c:delete val="0"/>
        <c:axPos val="b"/>
        <c:title>
          <c:tx>
            <c:rich>
              <a:bodyPr/>
              <a:lstStyle/>
              <a:p>
                <a:pPr>
                  <a:defRPr sz="1200"/>
                </a:pPr>
                <a:r>
                  <a:rPr lang="en-US" sz="1200"/>
                  <a:t>Fiscal Year</a:t>
                </a:r>
              </a:p>
            </c:rich>
          </c:tx>
          <c:layout>
            <c:manualLayout>
              <c:xMode val="edge"/>
              <c:yMode val="edge"/>
              <c:x val="0.49999567596515698"/>
              <c:y val="0.91411120752953801"/>
            </c:manualLayout>
          </c:layout>
          <c:overlay val="0"/>
        </c:title>
        <c:numFmt formatCode="General" sourceLinked="0"/>
        <c:majorTickMark val="out"/>
        <c:minorTickMark val="none"/>
        <c:tickLblPos val="nextTo"/>
        <c:txPr>
          <a:bodyPr/>
          <a:lstStyle/>
          <a:p>
            <a:pPr>
              <a:defRPr sz="1200" b="0" baseline="0">
                <a:latin typeface="+mn-lt"/>
                <a:cs typeface="Arial" panose="020B0604020202020204" pitchFamily="34" charset="0"/>
              </a:defRPr>
            </a:pPr>
            <a:endParaRPr lang="en-US"/>
          </a:p>
        </c:txPr>
        <c:crossAx val="412591584"/>
        <c:crosses val="autoZero"/>
        <c:auto val="1"/>
        <c:lblAlgn val="ctr"/>
        <c:lblOffset val="100"/>
        <c:noMultiLvlLbl val="0"/>
      </c:catAx>
      <c:valAx>
        <c:axId val="412591584"/>
        <c:scaling>
          <c:orientation val="minMax"/>
        </c:scaling>
        <c:delete val="0"/>
        <c:axPos val="l"/>
        <c:majorGridlines/>
        <c:title>
          <c:tx>
            <c:rich>
              <a:bodyPr/>
              <a:lstStyle/>
              <a:p>
                <a:pPr>
                  <a:defRPr sz="1200"/>
                </a:pPr>
                <a:r>
                  <a:rPr lang="en-US" sz="1200"/>
                  <a:t>Volume (TB)</a:t>
                </a:r>
              </a:p>
            </c:rich>
          </c:tx>
          <c:layout>
            <c:manualLayout>
              <c:xMode val="edge"/>
              <c:yMode val="edge"/>
              <c:x val="1.62849872773537E-2"/>
              <c:y val="0.34790157257870402"/>
            </c:manualLayout>
          </c:layout>
          <c:overlay val="0"/>
        </c:title>
        <c:numFmt formatCode="#,##0" sourceLinked="0"/>
        <c:majorTickMark val="out"/>
        <c:minorTickMark val="none"/>
        <c:tickLblPos val="nextTo"/>
        <c:spPr>
          <a:ln>
            <a:solidFill>
              <a:schemeClr val="bg1">
                <a:lumMod val="50000"/>
              </a:schemeClr>
            </a:solidFill>
          </a:ln>
        </c:spPr>
        <c:txPr>
          <a:bodyPr/>
          <a:lstStyle/>
          <a:p>
            <a:pPr>
              <a:defRPr sz="1200">
                <a:latin typeface="+mn-lt"/>
                <a:cs typeface="Arial" panose="020B0604020202020204" pitchFamily="34" charset="0"/>
              </a:defRPr>
            </a:pPr>
            <a:endParaRPr lang="en-US"/>
          </a:p>
        </c:txPr>
        <c:crossAx val="412583424"/>
        <c:crosses val="autoZero"/>
        <c:crossBetween val="between"/>
      </c:valAx>
      <c:spPr>
        <a:ln>
          <a:solidFill>
            <a:schemeClr val="bg1">
              <a:lumMod val="50000"/>
            </a:schemeClr>
          </a:solidFill>
          <a:prstDash val="solid"/>
        </a:ln>
      </c:spPr>
    </c:plotArea>
    <c:plotVisOnly val="1"/>
    <c:dispBlanksAs val="gap"/>
    <c:showDLblsOverMax val="0"/>
  </c:chart>
  <c:printSettings>
    <c:headerFooter/>
    <c:pageMargins b="0.750000000000004" l="0.70000000000000095" r="0.70000000000000095" t="0.750000000000004"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969718055696397"/>
          <c:y val="0.14901950216041901"/>
          <c:w val="0.839465925789318"/>
          <c:h val="0.68891197860574704"/>
        </c:manualLayout>
      </c:layout>
      <c:lineChart>
        <c:grouping val="standard"/>
        <c:varyColors val="0"/>
        <c:ser>
          <c:idx val="0"/>
          <c:order val="0"/>
          <c:tx>
            <c:strRef>
              <c:f>data!$H$176</c:f>
              <c:strCache>
                <c:ptCount val="1"/>
                <c:pt idx="0">
                  <c:v>LP DAAC</c:v>
                </c:pt>
              </c:strCache>
            </c:strRef>
          </c:tx>
          <c:marker>
            <c:symbol val="none"/>
          </c:marker>
          <c:cat>
            <c:strRef>
              <c:f>data!$A$177:$A$191</c:f>
              <c:strCache>
                <c:ptCount val="15"/>
                <c:pt idx="0">
                  <c:v>FY08</c:v>
                </c:pt>
                <c:pt idx="1">
                  <c:v>FY09</c:v>
                </c:pt>
                <c:pt idx="2">
                  <c:v>FY10</c:v>
                </c:pt>
                <c:pt idx="3">
                  <c:v>FY11</c:v>
                </c:pt>
                <c:pt idx="4">
                  <c:v>FY12</c:v>
                </c:pt>
                <c:pt idx="5">
                  <c:v>FY13</c:v>
                </c:pt>
                <c:pt idx="6">
                  <c:v>FY14</c:v>
                </c:pt>
                <c:pt idx="7">
                  <c:v>FY15</c:v>
                </c:pt>
                <c:pt idx="8">
                  <c:v>FY16</c:v>
                </c:pt>
                <c:pt idx="9">
                  <c:v>FY17</c:v>
                </c:pt>
                <c:pt idx="10">
                  <c:v>FY18</c:v>
                </c:pt>
                <c:pt idx="11">
                  <c:v>FY19</c:v>
                </c:pt>
                <c:pt idx="12">
                  <c:v>FY20</c:v>
                </c:pt>
                <c:pt idx="13">
                  <c:v>FY21</c:v>
                </c:pt>
                <c:pt idx="14">
                  <c:v>FY22</c:v>
                </c:pt>
              </c:strCache>
            </c:strRef>
          </c:cat>
          <c:val>
            <c:numRef>
              <c:f>data!$H$177:$H$191</c:f>
              <c:numCache>
                <c:formatCode>0.0%</c:formatCode>
                <c:ptCount val="15"/>
                <c:pt idx="0">
                  <c:v>3.6466484818673699E-2</c:v>
                </c:pt>
                <c:pt idx="1">
                  <c:v>8.0339235573892609E-2</c:v>
                </c:pt>
                <c:pt idx="2">
                  <c:v>0.13444174335822193</c:v>
                </c:pt>
                <c:pt idx="3">
                  <c:v>3.7928462661984526E-2</c:v>
                </c:pt>
                <c:pt idx="4">
                  <c:v>4.5725031726096932E-2</c:v>
                </c:pt>
                <c:pt idx="5">
                  <c:v>0.17976792544861755</c:v>
                </c:pt>
                <c:pt idx="6">
                  <c:v>0.1921027354903225</c:v>
                </c:pt>
                <c:pt idx="7">
                  <c:v>0.1811757891688387</c:v>
                </c:pt>
                <c:pt idx="8">
                  <c:v>0.24775192716871883</c:v>
                </c:pt>
                <c:pt idx="9">
                  <c:v>0.32284028536173714</c:v>
                </c:pt>
                <c:pt idx="10">
                  <c:v>0.29646412946384909</c:v>
                </c:pt>
                <c:pt idx="11">
                  <c:v>0.27058645650242863</c:v>
                </c:pt>
              </c:numCache>
            </c:numRef>
          </c:val>
          <c:smooth val="0"/>
          <c:extLst>
            <c:ext xmlns:c16="http://schemas.microsoft.com/office/drawing/2014/chart" uri="{C3380CC4-5D6E-409C-BE32-E72D297353CC}">
              <c16:uniqueId val="{00000000-78A5-2F47-9E1B-2B29AFAB7AD9}"/>
            </c:ext>
          </c:extLst>
        </c:ser>
        <c:dLbls>
          <c:showLegendKey val="0"/>
          <c:showVal val="0"/>
          <c:showCatName val="0"/>
          <c:showSerName val="0"/>
          <c:showPercent val="0"/>
          <c:showBubbleSize val="0"/>
        </c:dLbls>
        <c:smooth val="0"/>
        <c:axId val="412586688"/>
        <c:axId val="412585056"/>
      </c:lineChart>
      <c:catAx>
        <c:axId val="412586688"/>
        <c:scaling>
          <c:orientation val="minMax"/>
        </c:scaling>
        <c:delete val="0"/>
        <c:axPos val="b"/>
        <c:title>
          <c:tx>
            <c:rich>
              <a:bodyPr/>
              <a:lstStyle/>
              <a:p>
                <a:pPr>
                  <a:defRPr sz="1200"/>
                </a:pPr>
                <a:r>
                  <a:rPr lang="en-US" sz="1200"/>
                  <a:t>Fiscal Year</a:t>
                </a:r>
              </a:p>
            </c:rich>
          </c:tx>
          <c:layout>
            <c:manualLayout>
              <c:xMode val="edge"/>
              <c:yMode val="edge"/>
              <c:x val="0.48422756091902203"/>
              <c:y val="0.91945592070692705"/>
            </c:manualLayout>
          </c:layout>
          <c:overlay val="0"/>
        </c:title>
        <c:numFmt formatCode="General" sourceLinked="0"/>
        <c:majorTickMark val="out"/>
        <c:minorTickMark val="none"/>
        <c:tickLblPos val="nextTo"/>
        <c:txPr>
          <a:bodyPr/>
          <a:lstStyle/>
          <a:p>
            <a:pPr>
              <a:defRPr sz="1200" b="0" baseline="0">
                <a:latin typeface="+mn-lt"/>
                <a:cs typeface="Arial" panose="020B0604020202020204" pitchFamily="34" charset="0"/>
              </a:defRPr>
            </a:pPr>
            <a:endParaRPr lang="en-US"/>
          </a:p>
        </c:txPr>
        <c:crossAx val="412585056"/>
        <c:crosses val="autoZero"/>
        <c:auto val="1"/>
        <c:lblAlgn val="ctr"/>
        <c:lblOffset val="100"/>
        <c:noMultiLvlLbl val="0"/>
      </c:catAx>
      <c:valAx>
        <c:axId val="412585056"/>
        <c:scaling>
          <c:orientation val="minMax"/>
        </c:scaling>
        <c:delete val="0"/>
        <c:axPos val="l"/>
        <c:majorGridlines/>
        <c:title>
          <c:tx>
            <c:rich>
              <a:bodyPr/>
              <a:lstStyle/>
              <a:p>
                <a:pPr>
                  <a:defRPr sz="1200"/>
                </a:pPr>
                <a:r>
                  <a:rPr lang="en-US" sz="1200"/>
                  <a:t>Percentage</a:t>
                </a:r>
              </a:p>
            </c:rich>
          </c:tx>
          <c:layout>
            <c:manualLayout>
              <c:xMode val="edge"/>
              <c:yMode val="edge"/>
              <c:x val="4.8473441747445998E-3"/>
              <c:y val="0.36539536980201598"/>
            </c:manualLayout>
          </c:layout>
          <c:overlay val="0"/>
        </c:title>
        <c:numFmt formatCode="0%" sourceLinked="0"/>
        <c:majorTickMark val="out"/>
        <c:minorTickMark val="none"/>
        <c:tickLblPos val="nextTo"/>
        <c:txPr>
          <a:bodyPr/>
          <a:lstStyle/>
          <a:p>
            <a:pPr>
              <a:defRPr sz="1200">
                <a:solidFill>
                  <a:sysClr val="windowText" lastClr="000000"/>
                </a:solidFill>
                <a:latin typeface="+mn-lt"/>
                <a:cs typeface="Arial" panose="020B0604020202020204" pitchFamily="34" charset="0"/>
              </a:defRPr>
            </a:pPr>
            <a:endParaRPr lang="en-US"/>
          </a:p>
        </c:txPr>
        <c:crossAx val="412586688"/>
        <c:crosses val="autoZero"/>
        <c:crossBetween val="between"/>
      </c:valAx>
      <c:spPr>
        <a:ln>
          <a:solidFill>
            <a:schemeClr val="bg1">
              <a:lumMod val="50000"/>
            </a:schemeClr>
          </a:solidFill>
          <a:prstDash val="solid"/>
        </a:ln>
      </c:spPr>
    </c:plotArea>
    <c:plotVisOnly val="1"/>
    <c:dispBlanksAs val="gap"/>
    <c:showDLblsOverMax val="0"/>
  </c:chart>
  <c:printSettings>
    <c:headerFooter/>
    <c:pageMargins b="0.750000000000004" l="0.70000000000000095" r="0.70000000000000095" t="0.750000000000004" header="0.3" footer="0.3"/>
    <c:pageSetup/>
  </c:printSettings>
  <c:userShapes r:id="rId1"/>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a:latin typeface="+mn-lt"/>
                <a:cs typeface="Arial" panose="020B0604020202020204" pitchFamily="34" charset="0"/>
              </a:defRPr>
            </a:pPr>
            <a:r>
              <a:rPr lang="en-US"/>
              <a:t>LPDAAC Multi-Year Product Distribution Trend</a:t>
            </a:r>
          </a:p>
        </c:rich>
      </c:tx>
      <c:layout>
        <c:manualLayout>
          <c:xMode val="edge"/>
          <c:yMode val="edge"/>
          <c:x val="0.219374642226661"/>
          <c:y val="4.2874122560153598E-2"/>
        </c:manualLayout>
      </c:layout>
      <c:overlay val="0"/>
    </c:title>
    <c:autoTitleDeleted val="0"/>
    <c:plotArea>
      <c:layout>
        <c:manualLayout>
          <c:layoutTarget val="inner"/>
          <c:xMode val="edge"/>
          <c:yMode val="edge"/>
          <c:x val="0.113107657173634"/>
          <c:y val="0.18225294239347301"/>
          <c:w val="0.85726272307204099"/>
          <c:h val="0.65529307668611403"/>
        </c:manualLayout>
      </c:layout>
      <c:barChart>
        <c:barDir val="col"/>
        <c:grouping val="clustered"/>
        <c:varyColors val="0"/>
        <c:ser>
          <c:idx val="0"/>
          <c:order val="0"/>
          <c:tx>
            <c:strRef>
              <c:f>Summary_data!$J$21</c:f>
              <c:strCache>
                <c:ptCount val="1"/>
                <c:pt idx="0">
                  <c:v>LP DAAC</c:v>
                </c:pt>
              </c:strCache>
            </c:strRef>
          </c:tx>
          <c:invertIfNegative val="0"/>
          <c:cat>
            <c:strRef>
              <c:f>Summary_data!$C$22:$C$40</c:f>
              <c:strCache>
                <c:ptCount val="19"/>
                <c:pt idx="0">
                  <c:v>FY07</c:v>
                </c:pt>
                <c:pt idx="1">
                  <c:v>FY08</c:v>
                </c:pt>
                <c:pt idx="2">
                  <c:v>FY09</c:v>
                </c:pt>
                <c:pt idx="3">
                  <c:v>FY10</c:v>
                </c:pt>
                <c:pt idx="4">
                  <c:v>FY11</c:v>
                </c:pt>
                <c:pt idx="5">
                  <c:v>FY12</c:v>
                </c:pt>
                <c:pt idx="6">
                  <c:v>FY13</c:v>
                </c:pt>
                <c:pt idx="7">
                  <c:v>FY14</c:v>
                </c:pt>
                <c:pt idx="8">
                  <c:v>FY15</c:v>
                </c:pt>
                <c:pt idx="9">
                  <c:v>FY16</c:v>
                </c:pt>
                <c:pt idx="10">
                  <c:v>FY17</c:v>
                </c:pt>
                <c:pt idx="11">
                  <c:v>FY18</c:v>
                </c:pt>
                <c:pt idx="12">
                  <c:v>FY19</c:v>
                </c:pt>
                <c:pt idx="13">
                  <c:v>FY20</c:v>
                </c:pt>
                <c:pt idx="14">
                  <c:v>FY21</c:v>
                </c:pt>
                <c:pt idx="15">
                  <c:v>FY22</c:v>
                </c:pt>
                <c:pt idx="16">
                  <c:v>FY23</c:v>
                </c:pt>
                <c:pt idx="17">
                  <c:v>FY24</c:v>
                </c:pt>
                <c:pt idx="18">
                  <c:v>FY25</c:v>
                </c:pt>
              </c:strCache>
            </c:strRef>
          </c:cat>
          <c:val>
            <c:numRef>
              <c:f>Summary_data!$J$22:$J$40</c:f>
              <c:numCache>
                <c:formatCode>_(* #,##0.0_);_(* \(#,##0.0\);_(* "-"??_);_(@_)</c:formatCode>
                <c:ptCount val="19"/>
                <c:pt idx="0">
                  <c:v>0.148617</c:v>
                </c:pt>
                <c:pt idx="1">
                  <c:v>16.757476</c:v>
                </c:pt>
                <c:pt idx="2">
                  <c:v>38.827043000000003</c:v>
                </c:pt>
                <c:pt idx="3">
                  <c:v>51.945273</c:v>
                </c:pt>
                <c:pt idx="4">
                  <c:v>63.965963000000002</c:v>
                </c:pt>
                <c:pt idx="5">
                  <c:v>70.588599000000002</c:v>
                </c:pt>
                <c:pt idx="6">
                  <c:v>111.743424</c:v>
                </c:pt>
                <c:pt idx="7">
                  <c:v>127.080485</c:v>
                </c:pt>
                <c:pt idx="8">
                  <c:v>163.27644599999999</c:v>
                </c:pt>
                <c:pt idx="9">
                  <c:v>174.59097600000001</c:v>
                </c:pt>
                <c:pt idx="10">
                  <c:v>208.186137</c:v>
                </c:pt>
                <c:pt idx="11">
                  <c:v>249.38378800000001</c:v>
                </c:pt>
                <c:pt idx="12">
                  <c:v>276.07118400000002</c:v>
                </c:pt>
                <c:pt idx="13">
                  <c:v>233.80064299999998</c:v>
                </c:pt>
                <c:pt idx="14">
                  <c:v>252.374606</c:v>
                </c:pt>
                <c:pt idx="15">
                  <c:v>512.76510099999996</c:v>
                </c:pt>
                <c:pt idx="16">
                  <c:v>613.62384999999995</c:v>
                </c:pt>
                <c:pt idx="17">
                  <c:v>1660.080285</c:v>
                </c:pt>
                <c:pt idx="18">
                  <c:v>3523.2388449999999</c:v>
                </c:pt>
              </c:numCache>
            </c:numRef>
          </c:val>
          <c:extLst>
            <c:ext xmlns:c16="http://schemas.microsoft.com/office/drawing/2014/chart" uri="{C3380CC4-5D6E-409C-BE32-E72D297353CC}">
              <c16:uniqueId val="{00000000-036A-BE4D-85AF-AC26A98B3D51}"/>
            </c:ext>
          </c:extLst>
        </c:ser>
        <c:dLbls>
          <c:showLegendKey val="0"/>
          <c:showVal val="0"/>
          <c:showCatName val="0"/>
          <c:showSerName val="0"/>
          <c:showPercent val="0"/>
          <c:showBubbleSize val="0"/>
        </c:dLbls>
        <c:gapWidth val="150"/>
        <c:axId val="412585600"/>
        <c:axId val="412586144"/>
      </c:barChart>
      <c:catAx>
        <c:axId val="412585600"/>
        <c:scaling>
          <c:orientation val="minMax"/>
        </c:scaling>
        <c:delete val="0"/>
        <c:axPos val="b"/>
        <c:title>
          <c:tx>
            <c:rich>
              <a:bodyPr/>
              <a:lstStyle/>
              <a:p>
                <a:pPr>
                  <a:defRPr sz="1200"/>
                </a:pPr>
                <a:r>
                  <a:rPr lang="en-US" sz="1200"/>
                  <a:t>Fiscal Year</a:t>
                </a:r>
              </a:p>
            </c:rich>
          </c:tx>
          <c:layout>
            <c:manualLayout>
              <c:xMode val="edge"/>
              <c:yMode val="edge"/>
              <c:x val="0.51269424232162897"/>
              <c:y val="0.91856945601153805"/>
            </c:manualLayout>
          </c:layout>
          <c:overlay val="0"/>
        </c:title>
        <c:numFmt formatCode="General" sourceLinked="0"/>
        <c:majorTickMark val="out"/>
        <c:minorTickMark val="none"/>
        <c:tickLblPos val="nextTo"/>
        <c:txPr>
          <a:bodyPr/>
          <a:lstStyle/>
          <a:p>
            <a:pPr>
              <a:defRPr sz="1200" b="0" baseline="0">
                <a:latin typeface="+mn-lt"/>
                <a:cs typeface="Arial" panose="020B0604020202020204" pitchFamily="34" charset="0"/>
              </a:defRPr>
            </a:pPr>
            <a:endParaRPr lang="en-US"/>
          </a:p>
        </c:txPr>
        <c:crossAx val="412586144"/>
        <c:crosses val="autoZero"/>
        <c:auto val="1"/>
        <c:lblAlgn val="ctr"/>
        <c:lblOffset val="100"/>
        <c:noMultiLvlLbl val="0"/>
      </c:catAx>
      <c:valAx>
        <c:axId val="412586144"/>
        <c:scaling>
          <c:orientation val="minMax"/>
        </c:scaling>
        <c:delete val="0"/>
        <c:axPos val="l"/>
        <c:majorGridlines/>
        <c:title>
          <c:tx>
            <c:rich>
              <a:bodyPr/>
              <a:lstStyle/>
              <a:p>
                <a:pPr>
                  <a:defRPr sz="1200"/>
                </a:pPr>
                <a:r>
                  <a:rPr lang="en-US" sz="1200"/>
                  <a:t>Product Distributed (Millions)</a:t>
                </a:r>
              </a:p>
            </c:rich>
          </c:tx>
          <c:layout>
            <c:manualLayout>
              <c:xMode val="edge"/>
              <c:yMode val="edge"/>
              <c:x val="1.6285028493567399E-2"/>
              <c:y val="0.17328868888728299"/>
            </c:manualLayout>
          </c:layout>
          <c:overlay val="0"/>
        </c:title>
        <c:numFmt formatCode="#,##0" sourceLinked="0"/>
        <c:majorTickMark val="out"/>
        <c:minorTickMark val="none"/>
        <c:tickLblPos val="nextTo"/>
        <c:spPr>
          <a:ln>
            <a:solidFill>
              <a:schemeClr val="bg1">
                <a:lumMod val="50000"/>
              </a:schemeClr>
            </a:solidFill>
          </a:ln>
        </c:spPr>
        <c:txPr>
          <a:bodyPr/>
          <a:lstStyle/>
          <a:p>
            <a:pPr>
              <a:defRPr sz="1200">
                <a:latin typeface="+mn-lt"/>
                <a:cs typeface="Arial" panose="020B0604020202020204" pitchFamily="34" charset="0"/>
              </a:defRPr>
            </a:pPr>
            <a:endParaRPr lang="en-US"/>
          </a:p>
        </c:txPr>
        <c:crossAx val="412585600"/>
        <c:crosses val="autoZero"/>
        <c:crossBetween val="between"/>
      </c:valAx>
      <c:spPr>
        <a:ln>
          <a:solidFill>
            <a:schemeClr val="bg1">
              <a:lumMod val="50000"/>
            </a:schemeClr>
          </a:solidFill>
          <a:prstDash val="solid"/>
        </a:ln>
      </c:spPr>
    </c:plotArea>
    <c:plotVisOnly val="1"/>
    <c:dispBlanksAs val="gap"/>
    <c:showDLblsOverMax val="0"/>
  </c:chart>
  <c:printSettings>
    <c:headerFooter/>
    <c:pageMargins b="0.750000000000004" l="0.70000000000000095" r="0.70000000000000095" t="0.750000000000004"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64617039265194"/>
          <c:y val="0.143607581541664"/>
          <c:w val="0.798349496295651"/>
          <c:h val="0.70576857582792596"/>
        </c:manualLayout>
      </c:layout>
      <c:barChart>
        <c:barDir val="col"/>
        <c:grouping val="clustered"/>
        <c:varyColors val="0"/>
        <c:ser>
          <c:idx val="0"/>
          <c:order val="0"/>
          <c:tx>
            <c:strRef>
              <c:f>data!$T$283</c:f>
              <c:strCache>
                <c:ptCount val="1"/>
                <c:pt idx="0">
                  <c:v>VISITS</c:v>
                </c:pt>
              </c:strCache>
            </c:strRef>
          </c:tx>
          <c:invertIfNegative val="0"/>
          <c:cat>
            <c:strRef>
              <c:f>data!$A$284:$A$302</c:f>
              <c:strCache>
                <c:ptCount val="19"/>
                <c:pt idx="0">
                  <c:v>FY07</c:v>
                </c:pt>
                <c:pt idx="1">
                  <c:v>FY08</c:v>
                </c:pt>
                <c:pt idx="2">
                  <c:v>FY09</c:v>
                </c:pt>
                <c:pt idx="3">
                  <c:v>FY10</c:v>
                </c:pt>
                <c:pt idx="4">
                  <c:v>FY11</c:v>
                </c:pt>
                <c:pt idx="5">
                  <c:v>FY12</c:v>
                </c:pt>
                <c:pt idx="6">
                  <c:v>FY13</c:v>
                </c:pt>
                <c:pt idx="7">
                  <c:v>FY14</c:v>
                </c:pt>
                <c:pt idx="8">
                  <c:v>FY15</c:v>
                </c:pt>
                <c:pt idx="9">
                  <c:v>FY16</c:v>
                </c:pt>
                <c:pt idx="10">
                  <c:v>FY17</c:v>
                </c:pt>
                <c:pt idx="11">
                  <c:v>FY18</c:v>
                </c:pt>
                <c:pt idx="12">
                  <c:v>FY19</c:v>
                </c:pt>
                <c:pt idx="13">
                  <c:v>FY20</c:v>
                </c:pt>
                <c:pt idx="14">
                  <c:v>FY21</c:v>
                </c:pt>
                <c:pt idx="15">
                  <c:v>FY22</c:v>
                </c:pt>
                <c:pt idx="16">
                  <c:v>FY23</c:v>
                </c:pt>
                <c:pt idx="17">
                  <c:v>FY24</c:v>
                </c:pt>
                <c:pt idx="18">
                  <c:v>FY25</c:v>
                </c:pt>
              </c:strCache>
            </c:strRef>
          </c:cat>
          <c:val>
            <c:numRef>
              <c:f>data!$T$284:$T$302</c:f>
              <c:numCache>
                <c:formatCode>_(* #,##0_);_(* \(#,##0\);_(* "-"??_);_(@_)</c:formatCode>
                <c:ptCount val="19"/>
                <c:pt idx="0">
                  <c:v>74193</c:v>
                </c:pt>
                <c:pt idx="1">
                  <c:v>78161</c:v>
                </c:pt>
                <c:pt idx="2">
                  <c:v>53247</c:v>
                </c:pt>
                <c:pt idx="3">
                  <c:v>35281</c:v>
                </c:pt>
                <c:pt idx="4">
                  <c:v>94768</c:v>
                </c:pt>
                <c:pt idx="5">
                  <c:v>205451</c:v>
                </c:pt>
                <c:pt idx="6">
                  <c:v>127574</c:v>
                </c:pt>
                <c:pt idx="7">
                  <c:v>119538</c:v>
                </c:pt>
                <c:pt idx="8">
                  <c:v>140454</c:v>
                </c:pt>
                <c:pt idx="9">
                  <c:v>189171</c:v>
                </c:pt>
                <c:pt idx="10">
                  <c:v>195153</c:v>
                </c:pt>
                <c:pt idx="11">
                  <c:v>209718</c:v>
                </c:pt>
                <c:pt idx="12">
                  <c:v>217017</c:v>
                </c:pt>
                <c:pt idx="13">
                  <c:v>175741</c:v>
                </c:pt>
                <c:pt idx="14">
                  <c:v>184383</c:v>
                </c:pt>
                <c:pt idx="15">
                  <c:v>161535</c:v>
                </c:pt>
                <c:pt idx="16">
                  <c:v>135606</c:v>
                </c:pt>
                <c:pt idx="17">
                  <c:v>255271</c:v>
                </c:pt>
                <c:pt idx="18">
                  <c:v>582452</c:v>
                </c:pt>
              </c:numCache>
            </c:numRef>
          </c:val>
          <c:extLst>
            <c:ext xmlns:c16="http://schemas.microsoft.com/office/drawing/2014/chart" uri="{C3380CC4-5D6E-409C-BE32-E72D297353CC}">
              <c16:uniqueId val="{00000000-F3C9-4C43-B408-02A2A468B4D6}"/>
            </c:ext>
          </c:extLst>
        </c:ser>
        <c:ser>
          <c:idx val="1"/>
          <c:order val="1"/>
          <c:tx>
            <c:strRef>
              <c:f>data!$U$283</c:f>
              <c:strCache>
                <c:ptCount val="1"/>
                <c:pt idx="0">
                  <c:v>VIEWS</c:v>
                </c:pt>
              </c:strCache>
            </c:strRef>
          </c:tx>
          <c:invertIfNegative val="0"/>
          <c:cat>
            <c:strRef>
              <c:f>data!$A$284:$A$302</c:f>
              <c:strCache>
                <c:ptCount val="19"/>
                <c:pt idx="0">
                  <c:v>FY07</c:v>
                </c:pt>
                <c:pt idx="1">
                  <c:v>FY08</c:v>
                </c:pt>
                <c:pt idx="2">
                  <c:v>FY09</c:v>
                </c:pt>
                <c:pt idx="3">
                  <c:v>FY10</c:v>
                </c:pt>
                <c:pt idx="4">
                  <c:v>FY11</c:v>
                </c:pt>
                <c:pt idx="5">
                  <c:v>FY12</c:v>
                </c:pt>
                <c:pt idx="6">
                  <c:v>FY13</c:v>
                </c:pt>
                <c:pt idx="7">
                  <c:v>FY14</c:v>
                </c:pt>
                <c:pt idx="8">
                  <c:v>FY15</c:v>
                </c:pt>
                <c:pt idx="9">
                  <c:v>FY16</c:v>
                </c:pt>
                <c:pt idx="10">
                  <c:v>FY17</c:v>
                </c:pt>
                <c:pt idx="11">
                  <c:v>FY18</c:v>
                </c:pt>
                <c:pt idx="12">
                  <c:v>FY19</c:v>
                </c:pt>
                <c:pt idx="13">
                  <c:v>FY20</c:v>
                </c:pt>
                <c:pt idx="14">
                  <c:v>FY21</c:v>
                </c:pt>
                <c:pt idx="15">
                  <c:v>FY22</c:v>
                </c:pt>
                <c:pt idx="16">
                  <c:v>FY23</c:v>
                </c:pt>
                <c:pt idx="17">
                  <c:v>FY24</c:v>
                </c:pt>
                <c:pt idx="18">
                  <c:v>FY25</c:v>
                </c:pt>
              </c:strCache>
            </c:strRef>
          </c:cat>
          <c:val>
            <c:numRef>
              <c:f>data!$U$284:$U$302</c:f>
              <c:numCache>
                <c:formatCode>_(* #,##0_);_(* \(#,##0\);_(* "-"??_);_(@_)</c:formatCode>
                <c:ptCount val="19"/>
                <c:pt idx="0">
                  <c:v>735937</c:v>
                </c:pt>
                <c:pt idx="1">
                  <c:v>757185</c:v>
                </c:pt>
                <c:pt idx="2">
                  <c:v>377739</c:v>
                </c:pt>
                <c:pt idx="3">
                  <c:v>251786</c:v>
                </c:pt>
                <c:pt idx="4">
                  <c:v>915566</c:v>
                </c:pt>
                <c:pt idx="5">
                  <c:v>1386094</c:v>
                </c:pt>
                <c:pt idx="6">
                  <c:v>958322</c:v>
                </c:pt>
                <c:pt idx="7">
                  <c:v>744359</c:v>
                </c:pt>
                <c:pt idx="8">
                  <c:v>865811</c:v>
                </c:pt>
                <c:pt idx="9">
                  <c:v>1096949</c:v>
                </c:pt>
                <c:pt idx="10">
                  <c:v>1059513</c:v>
                </c:pt>
                <c:pt idx="11">
                  <c:v>1158426</c:v>
                </c:pt>
                <c:pt idx="12">
                  <c:v>1410082</c:v>
                </c:pt>
                <c:pt idx="13">
                  <c:v>1274426</c:v>
                </c:pt>
                <c:pt idx="14">
                  <c:v>1298463</c:v>
                </c:pt>
                <c:pt idx="15">
                  <c:v>1014846</c:v>
                </c:pt>
                <c:pt idx="16">
                  <c:v>436954</c:v>
                </c:pt>
                <c:pt idx="17">
                  <c:v>1816152</c:v>
                </c:pt>
                <c:pt idx="18">
                  <c:v>1606878</c:v>
                </c:pt>
              </c:numCache>
            </c:numRef>
          </c:val>
          <c:extLst>
            <c:ext xmlns:c16="http://schemas.microsoft.com/office/drawing/2014/chart" uri="{C3380CC4-5D6E-409C-BE32-E72D297353CC}">
              <c16:uniqueId val="{00000003-F3C9-4C43-B408-02A2A468B4D6}"/>
            </c:ext>
          </c:extLst>
        </c:ser>
        <c:ser>
          <c:idx val="2"/>
          <c:order val="2"/>
          <c:tx>
            <c:strRef>
              <c:f>data!$V$283</c:f>
              <c:strCache>
                <c:ptCount val="1"/>
                <c:pt idx="0">
                  <c:v>VISITORS</c:v>
                </c:pt>
              </c:strCache>
            </c:strRef>
          </c:tx>
          <c:invertIfNegative val="0"/>
          <c:cat>
            <c:strRef>
              <c:f>data!$A$284:$A$302</c:f>
              <c:strCache>
                <c:ptCount val="19"/>
                <c:pt idx="0">
                  <c:v>FY07</c:v>
                </c:pt>
                <c:pt idx="1">
                  <c:v>FY08</c:v>
                </c:pt>
                <c:pt idx="2">
                  <c:v>FY09</c:v>
                </c:pt>
                <c:pt idx="3">
                  <c:v>FY10</c:v>
                </c:pt>
                <c:pt idx="4">
                  <c:v>FY11</c:v>
                </c:pt>
                <c:pt idx="5">
                  <c:v>FY12</c:v>
                </c:pt>
                <c:pt idx="6">
                  <c:v>FY13</c:v>
                </c:pt>
                <c:pt idx="7">
                  <c:v>FY14</c:v>
                </c:pt>
                <c:pt idx="8">
                  <c:v>FY15</c:v>
                </c:pt>
                <c:pt idx="9">
                  <c:v>FY16</c:v>
                </c:pt>
                <c:pt idx="10">
                  <c:v>FY17</c:v>
                </c:pt>
                <c:pt idx="11">
                  <c:v>FY18</c:v>
                </c:pt>
                <c:pt idx="12">
                  <c:v>FY19</c:v>
                </c:pt>
                <c:pt idx="13">
                  <c:v>FY20</c:v>
                </c:pt>
                <c:pt idx="14">
                  <c:v>FY21</c:v>
                </c:pt>
                <c:pt idx="15">
                  <c:v>FY22</c:v>
                </c:pt>
                <c:pt idx="16">
                  <c:v>FY23</c:v>
                </c:pt>
                <c:pt idx="17">
                  <c:v>FY24</c:v>
                </c:pt>
                <c:pt idx="18">
                  <c:v>FY25</c:v>
                </c:pt>
              </c:strCache>
            </c:strRef>
          </c:cat>
          <c:val>
            <c:numRef>
              <c:f>data!$V$284:$V$302</c:f>
              <c:numCache>
                <c:formatCode>_(* #,##0_);_(* \(#,##0\);_(* "-"??_);_(@_)</c:formatCode>
                <c:ptCount val="19"/>
                <c:pt idx="0">
                  <c:v>41991</c:v>
                </c:pt>
                <c:pt idx="1">
                  <c:v>44726</c:v>
                </c:pt>
                <c:pt idx="2">
                  <c:v>34902</c:v>
                </c:pt>
                <c:pt idx="3">
                  <c:v>23036</c:v>
                </c:pt>
                <c:pt idx="4">
                  <c:v>64358</c:v>
                </c:pt>
                <c:pt idx="5">
                  <c:v>164546</c:v>
                </c:pt>
                <c:pt idx="6">
                  <c:v>89098</c:v>
                </c:pt>
                <c:pt idx="7">
                  <c:v>86934</c:v>
                </c:pt>
                <c:pt idx="8">
                  <c:v>103590</c:v>
                </c:pt>
                <c:pt idx="9">
                  <c:v>143345</c:v>
                </c:pt>
                <c:pt idx="10">
                  <c:v>141014</c:v>
                </c:pt>
                <c:pt idx="11">
                  <c:v>153371</c:v>
                </c:pt>
                <c:pt idx="12">
                  <c:v>152381</c:v>
                </c:pt>
                <c:pt idx="13">
                  <c:v>122443</c:v>
                </c:pt>
                <c:pt idx="14">
                  <c:v>150940</c:v>
                </c:pt>
                <c:pt idx="15">
                  <c:v>109773</c:v>
                </c:pt>
                <c:pt idx="16">
                  <c:v>105217</c:v>
                </c:pt>
                <c:pt idx="17">
                  <c:v>145071</c:v>
                </c:pt>
                <c:pt idx="18">
                  <c:v>319848</c:v>
                </c:pt>
              </c:numCache>
            </c:numRef>
          </c:val>
          <c:extLst>
            <c:ext xmlns:c16="http://schemas.microsoft.com/office/drawing/2014/chart" uri="{C3380CC4-5D6E-409C-BE32-E72D297353CC}">
              <c16:uniqueId val="{00000004-F3C9-4C43-B408-02A2A468B4D6}"/>
            </c:ext>
          </c:extLst>
        </c:ser>
        <c:dLbls>
          <c:showLegendKey val="0"/>
          <c:showVal val="0"/>
          <c:showCatName val="0"/>
          <c:showSerName val="0"/>
          <c:showPercent val="0"/>
          <c:showBubbleSize val="0"/>
        </c:dLbls>
        <c:gapWidth val="219"/>
        <c:overlap val="-27"/>
        <c:axId val="412587776"/>
        <c:axId val="412589408"/>
      </c:barChart>
      <c:catAx>
        <c:axId val="412587776"/>
        <c:scaling>
          <c:orientation val="minMax"/>
        </c:scaling>
        <c:delete val="0"/>
        <c:axPos val="b"/>
        <c:title>
          <c:tx>
            <c:rich>
              <a:bodyPr rot="0" spcFirstLastPara="1" vertOverflow="ellipsis" vert="horz" wrap="square" anchor="ctr" anchorCtr="1"/>
              <a:lstStyle/>
              <a:p>
                <a:pPr>
                  <a:defRPr sz="1200" b="1" i="0" u="none" strike="noStrike" kern="1200" baseline="0">
                    <a:solidFill>
                      <a:sysClr val="windowText" lastClr="000000"/>
                    </a:solidFill>
                    <a:latin typeface="+mn-lt"/>
                    <a:ea typeface="+mn-ea"/>
                    <a:cs typeface="+mn-cs"/>
                  </a:defRPr>
                </a:pPr>
                <a:r>
                  <a:rPr lang="en-US" sz="1200" b="1">
                    <a:solidFill>
                      <a:sysClr val="windowText" lastClr="000000"/>
                    </a:solidFill>
                  </a:rPr>
                  <a:t>Fiscal Year</a:t>
                </a:r>
              </a:p>
            </c:rich>
          </c:tx>
          <c:layout>
            <c:manualLayout>
              <c:xMode val="edge"/>
              <c:yMode val="edge"/>
              <c:x val="0.52015726535887796"/>
              <c:y val="0.92867232948051204"/>
            </c:manualLayout>
          </c:layout>
          <c:overlay val="0"/>
          <c:spPr>
            <a:noFill/>
            <a:ln>
              <a:noFill/>
            </a:ln>
            <a:effectLst/>
          </c:spPr>
        </c:title>
        <c:numFmt formatCode="General" sourceLinked="1"/>
        <c:majorTickMark val="out"/>
        <c:minorTickMark val="none"/>
        <c:tickLblPos val="nextTo"/>
        <c:spPr>
          <a:noFill/>
          <a:ln w="12700" cap="flat" cmpd="sng" algn="ctr">
            <a:solidFill>
              <a:schemeClr val="bg1">
                <a:lumMod val="50000"/>
              </a:schemeClr>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en-US"/>
          </a:p>
        </c:txPr>
        <c:crossAx val="412589408"/>
        <c:crosses val="autoZero"/>
        <c:auto val="1"/>
        <c:lblAlgn val="ctr"/>
        <c:lblOffset val="100"/>
        <c:noMultiLvlLbl val="0"/>
      </c:catAx>
      <c:valAx>
        <c:axId val="412589408"/>
        <c:scaling>
          <c:orientation val="minMax"/>
        </c:scaling>
        <c:delete val="0"/>
        <c:axPos val="l"/>
        <c:majorGridlines>
          <c:spPr>
            <a:ln w="9525" cap="flat" cmpd="sng" algn="ctr">
              <a:solidFill>
                <a:schemeClr val="bg1">
                  <a:lumMod val="50000"/>
                </a:schemeClr>
              </a:solidFill>
              <a:round/>
            </a:ln>
            <a:effectLst/>
          </c:spPr>
        </c:majorGridlines>
        <c:title>
          <c:tx>
            <c:rich>
              <a:bodyPr rot="-5400000" spcFirstLastPara="1" vertOverflow="ellipsis" vert="horz" wrap="square" anchor="ctr" anchorCtr="1"/>
              <a:lstStyle/>
              <a:p>
                <a:pPr>
                  <a:defRPr sz="1200" b="1" i="0" u="none" strike="noStrike" kern="1200" baseline="0">
                    <a:solidFill>
                      <a:sysClr val="windowText" lastClr="000000"/>
                    </a:solidFill>
                    <a:latin typeface="+mn-lt"/>
                    <a:ea typeface="+mn-ea"/>
                    <a:cs typeface="+mn-cs"/>
                  </a:defRPr>
                </a:pPr>
                <a:r>
                  <a:rPr lang="en-US" sz="1200" b="1">
                    <a:solidFill>
                      <a:sysClr val="windowText" lastClr="000000"/>
                    </a:solidFill>
                  </a:rPr>
                  <a:t>Number </a:t>
                </a:r>
              </a:p>
            </c:rich>
          </c:tx>
          <c:layout>
            <c:manualLayout>
              <c:xMode val="edge"/>
              <c:yMode val="edge"/>
              <c:x val="3.3999234192006499E-3"/>
              <c:y val="0.346614823753157"/>
            </c:manualLayout>
          </c:layout>
          <c:overlay val="0"/>
          <c:spPr>
            <a:noFill/>
            <a:ln>
              <a:noFill/>
            </a:ln>
            <a:effectLst/>
          </c:spPr>
        </c:title>
        <c:numFmt formatCode="#,##0" sourceLinked="0"/>
        <c:majorTickMark val="out"/>
        <c:minorTickMark val="none"/>
        <c:tickLblPos val="nextTo"/>
        <c:spPr>
          <a:noFill/>
          <a:ln>
            <a:solidFill>
              <a:schemeClr val="bg1">
                <a:lumMod val="50000"/>
              </a:schemeClr>
            </a:solid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en-US"/>
          </a:p>
        </c:txPr>
        <c:crossAx val="412587776"/>
        <c:crosses val="autoZero"/>
        <c:crossBetween val="between"/>
      </c:valAx>
      <c:spPr>
        <a:noFill/>
        <a:ln>
          <a:solidFill>
            <a:schemeClr val="bg1">
              <a:lumMod val="50000"/>
            </a:schemeClr>
          </a:solidFill>
        </a:ln>
        <a:effectLst/>
      </c:spPr>
    </c:plotArea>
    <c:legend>
      <c:legendPos val="b"/>
      <c:layout>
        <c:manualLayout>
          <c:xMode val="edge"/>
          <c:yMode val="edge"/>
          <c:x val="0.38510155553805048"/>
          <c:y val="0.12889075599405336"/>
          <c:w val="0.31308285292015892"/>
          <c:h val="0.10425529103759629"/>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bg1">
          <a:lumMod val="50000"/>
        </a:schemeClr>
      </a:solidFill>
      <a:round/>
    </a:ln>
    <a:effectLst/>
  </c:spPr>
  <c:txPr>
    <a:bodyPr/>
    <a:lstStyle/>
    <a:p>
      <a:pPr>
        <a:defRPr/>
      </a:pPr>
      <a:endParaRPr lang="en-US"/>
    </a:p>
  </c:txPr>
  <c:printSettings>
    <c:headerFooter/>
    <c:pageMargins b="0.75" l="0.7" r="0.7" t="0.75" header="0.3" footer="0.3"/>
    <c:pageSetup/>
  </c:printSettings>
  <c:userShapes r:id="rId1"/>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a:latin typeface="+mn-lt"/>
                <a:cs typeface="Arial" panose="020B0604020202020204" pitchFamily="34" charset="0"/>
              </a:defRPr>
            </a:pPr>
            <a:r>
              <a:rPr lang="en-US"/>
              <a:t>NSIDC Multi-Year Total Archive Volume Trend</a:t>
            </a:r>
          </a:p>
        </c:rich>
      </c:tx>
      <c:layout>
        <c:manualLayout>
          <c:xMode val="edge"/>
          <c:yMode val="edge"/>
          <c:x val="0.223544133657093"/>
          <c:y val="3.8412164179890997E-2"/>
        </c:manualLayout>
      </c:layout>
      <c:overlay val="0"/>
    </c:title>
    <c:autoTitleDeleted val="0"/>
    <c:plotArea>
      <c:layout>
        <c:manualLayout>
          <c:layoutTarget val="inner"/>
          <c:xMode val="edge"/>
          <c:yMode val="edge"/>
          <c:x val="0.156188786714438"/>
          <c:y val="0.18228668594254499"/>
          <c:w val="0.80487043883359"/>
          <c:h val="0.65076746334831104"/>
        </c:manualLayout>
      </c:layout>
      <c:barChart>
        <c:barDir val="col"/>
        <c:grouping val="clustered"/>
        <c:varyColors val="0"/>
        <c:ser>
          <c:idx val="0"/>
          <c:order val="0"/>
          <c:tx>
            <c:strRef>
              <c:f>data!$J$156</c:f>
              <c:strCache>
                <c:ptCount val="1"/>
                <c:pt idx="0">
                  <c:v>NSIDC</c:v>
                </c:pt>
              </c:strCache>
            </c:strRef>
          </c:tx>
          <c:spPr>
            <a:solidFill>
              <a:schemeClr val="accent2">
                <a:lumMod val="75000"/>
              </a:schemeClr>
            </a:solidFill>
          </c:spPr>
          <c:invertIfNegative val="0"/>
          <c:cat>
            <c:strRef>
              <c:f>data!$A$157:$A$174</c:f>
              <c:strCache>
                <c:ptCount val="18"/>
                <c:pt idx="0">
                  <c:v>FY08</c:v>
                </c:pt>
                <c:pt idx="1">
                  <c:v>FY09</c:v>
                </c:pt>
                <c:pt idx="2">
                  <c:v>FY10</c:v>
                </c:pt>
                <c:pt idx="3">
                  <c:v>FY11</c:v>
                </c:pt>
                <c:pt idx="4">
                  <c:v>FY12</c:v>
                </c:pt>
                <c:pt idx="5">
                  <c:v>FY13</c:v>
                </c:pt>
                <c:pt idx="6">
                  <c:v>FY14</c:v>
                </c:pt>
                <c:pt idx="7">
                  <c:v>FY15</c:v>
                </c:pt>
                <c:pt idx="8">
                  <c:v>FY16</c:v>
                </c:pt>
                <c:pt idx="9">
                  <c:v>FY17</c:v>
                </c:pt>
                <c:pt idx="10">
                  <c:v>FY18</c:v>
                </c:pt>
                <c:pt idx="11">
                  <c:v>FY19</c:v>
                </c:pt>
                <c:pt idx="12">
                  <c:v>FY20</c:v>
                </c:pt>
                <c:pt idx="13">
                  <c:v>FY21</c:v>
                </c:pt>
                <c:pt idx="14">
                  <c:v>FY22</c:v>
                </c:pt>
                <c:pt idx="15">
                  <c:v>FY23</c:v>
                </c:pt>
                <c:pt idx="16">
                  <c:v>FY24</c:v>
                </c:pt>
                <c:pt idx="17">
                  <c:v>FY25</c:v>
                </c:pt>
              </c:strCache>
            </c:strRef>
          </c:cat>
          <c:val>
            <c:numRef>
              <c:f>data!$J$157:$J$174</c:f>
              <c:numCache>
                <c:formatCode>_(* #,##0.00_);_(* \(#,##0.00\);_(* "-"??_);_(@_)</c:formatCode>
                <c:ptCount val="18"/>
                <c:pt idx="0">
                  <c:v>125.360509765625</c:v>
                </c:pt>
                <c:pt idx="1">
                  <c:v>63.571999999999996</c:v>
                </c:pt>
                <c:pt idx="2">
                  <c:v>66.057981445312507</c:v>
                </c:pt>
                <c:pt idx="3">
                  <c:v>64.431476562499995</c:v>
                </c:pt>
                <c:pt idx="4">
                  <c:v>63.890546874999998</c:v>
                </c:pt>
                <c:pt idx="5">
                  <c:v>108.343125</c:v>
                </c:pt>
                <c:pt idx="6">
                  <c:v>121.28570499155356</c:v>
                </c:pt>
                <c:pt idx="7">
                  <c:v>177.02448242187498</c:v>
                </c:pt>
                <c:pt idx="8">
                  <c:v>277.42061523437502</c:v>
                </c:pt>
                <c:pt idx="9">
                  <c:v>428.189697265625</c:v>
                </c:pt>
                <c:pt idx="10">
                  <c:v>619.30999999999995</c:v>
                </c:pt>
                <c:pt idx="11">
                  <c:v>1058.0313964843749</c:v>
                </c:pt>
                <c:pt idx="12">
                  <c:v>1393.63</c:v>
                </c:pt>
                <c:pt idx="13">
                  <c:v>2348.3197167968751</c:v>
                </c:pt>
                <c:pt idx="14">
                  <c:v>3211.5</c:v>
                </c:pt>
                <c:pt idx="15">
                  <c:v>4758.75</c:v>
                </c:pt>
                <c:pt idx="16">
                  <c:v>6824.95</c:v>
                </c:pt>
                <c:pt idx="17">
                  <c:v>8941.1736328124989</c:v>
                </c:pt>
              </c:numCache>
            </c:numRef>
          </c:val>
          <c:extLst>
            <c:ext xmlns:c16="http://schemas.microsoft.com/office/drawing/2014/chart" uri="{C3380CC4-5D6E-409C-BE32-E72D297353CC}">
              <c16:uniqueId val="{00000000-9FC7-4248-A1F7-5F118CA82ED5}"/>
            </c:ext>
          </c:extLst>
        </c:ser>
        <c:dLbls>
          <c:showLegendKey val="0"/>
          <c:showVal val="0"/>
          <c:showCatName val="0"/>
          <c:showSerName val="0"/>
          <c:showPercent val="0"/>
          <c:showBubbleSize val="0"/>
        </c:dLbls>
        <c:gapWidth val="150"/>
        <c:axId val="412590496"/>
        <c:axId val="412581792"/>
      </c:barChart>
      <c:catAx>
        <c:axId val="412590496"/>
        <c:scaling>
          <c:orientation val="minMax"/>
        </c:scaling>
        <c:delete val="0"/>
        <c:axPos val="b"/>
        <c:title>
          <c:tx>
            <c:rich>
              <a:bodyPr/>
              <a:lstStyle/>
              <a:p>
                <a:pPr>
                  <a:defRPr sz="1200"/>
                </a:pPr>
                <a:r>
                  <a:rPr lang="en-US" sz="1200"/>
                  <a:t>Fiscal Year</a:t>
                </a:r>
              </a:p>
            </c:rich>
          </c:tx>
          <c:layout>
            <c:manualLayout>
              <c:xMode val="edge"/>
              <c:yMode val="edge"/>
              <c:x val="0.49999567596515698"/>
              <c:y val="0.91411120752953801"/>
            </c:manualLayout>
          </c:layout>
          <c:overlay val="0"/>
        </c:title>
        <c:numFmt formatCode="General" sourceLinked="0"/>
        <c:majorTickMark val="out"/>
        <c:minorTickMark val="none"/>
        <c:tickLblPos val="nextTo"/>
        <c:txPr>
          <a:bodyPr/>
          <a:lstStyle/>
          <a:p>
            <a:pPr>
              <a:defRPr sz="1200" b="0" baseline="0">
                <a:latin typeface="+mn-lt"/>
                <a:cs typeface="Arial" panose="020B0604020202020204" pitchFamily="34" charset="0"/>
              </a:defRPr>
            </a:pPr>
            <a:endParaRPr lang="en-US"/>
          </a:p>
        </c:txPr>
        <c:crossAx val="412581792"/>
        <c:crosses val="autoZero"/>
        <c:auto val="1"/>
        <c:lblAlgn val="ctr"/>
        <c:lblOffset val="100"/>
        <c:noMultiLvlLbl val="0"/>
      </c:catAx>
      <c:valAx>
        <c:axId val="412581792"/>
        <c:scaling>
          <c:orientation val="minMax"/>
        </c:scaling>
        <c:delete val="0"/>
        <c:axPos val="l"/>
        <c:majorGridlines/>
        <c:title>
          <c:tx>
            <c:rich>
              <a:bodyPr/>
              <a:lstStyle/>
              <a:p>
                <a:pPr>
                  <a:defRPr sz="1200"/>
                </a:pPr>
                <a:r>
                  <a:rPr lang="en-US" sz="1200"/>
                  <a:t>Volume (TB)</a:t>
                </a:r>
              </a:p>
            </c:rich>
          </c:tx>
          <c:layout>
            <c:manualLayout>
              <c:xMode val="edge"/>
              <c:yMode val="edge"/>
              <c:x val="1.62849872773537E-2"/>
              <c:y val="0.34790157257870402"/>
            </c:manualLayout>
          </c:layout>
          <c:overlay val="0"/>
        </c:title>
        <c:numFmt formatCode="#,##0" sourceLinked="0"/>
        <c:majorTickMark val="out"/>
        <c:minorTickMark val="none"/>
        <c:tickLblPos val="nextTo"/>
        <c:spPr>
          <a:ln>
            <a:solidFill>
              <a:schemeClr val="bg1">
                <a:lumMod val="50000"/>
              </a:schemeClr>
            </a:solidFill>
          </a:ln>
        </c:spPr>
        <c:txPr>
          <a:bodyPr/>
          <a:lstStyle/>
          <a:p>
            <a:pPr>
              <a:defRPr sz="1200">
                <a:latin typeface="+mn-lt"/>
                <a:cs typeface="Arial" panose="020B0604020202020204" pitchFamily="34" charset="0"/>
              </a:defRPr>
            </a:pPr>
            <a:endParaRPr lang="en-US"/>
          </a:p>
        </c:txPr>
        <c:crossAx val="412590496"/>
        <c:crosses val="autoZero"/>
        <c:crossBetween val="between"/>
      </c:valAx>
      <c:spPr>
        <a:ln>
          <a:solidFill>
            <a:schemeClr val="bg1">
              <a:lumMod val="50000"/>
            </a:schemeClr>
          </a:solidFill>
          <a:prstDash val="solid"/>
        </a:ln>
      </c:spPr>
    </c:plotArea>
    <c:plotVisOnly val="1"/>
    <c:dispBlanksAs val="gap"/>
    <c:showDLblsOverMax val="0"/>
  </c:chart>
  <c:printSettings>
    <c:headerFooter/>
    <c:pageMargins b="0.750000000000004" l="0.70000000000000095" r="0.70000000000000095" t="0.750000000000004"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a:latin typeface="+mn-lt"/>
                <a:cs typeface="Arial" panose="020B0604020202020204" pitchFamily="34" charset="0"/>
              </a:defRPr>
            </a:pPr>
            <a:r>
              <a:rPr lang="en-US"/>
              <a:t>ASDC Multi-Year Product Distribution Trend</a:t>
            </a:r>
          </a:p>
        </c:rich>
      </c:tx>
      <c:layout>
        <c:manualLayout>
          <c:xMode val="edge"/>
          <c:yMode val="edge"/>
          <c:x val="0.219374642226661"/>
          <c:y val="4.2874122560153598E-2"/>
        </c:manualLayout>
      </c:layout>
      <c:overlay val="0"/>
    </c:title>
    <c:autoTitleDeleted val="0"/>
    <c:plotArea>
      <c:layout>
        <c:manualLayout>
          <c:layoutTarget val="inner"/>
          <c:xMode val="edge"/>
          <c:yMode val="edge"/>
          <c:x val="0.113107657173634"/>
          <c:y val="0.18225294239347301"/>
          <c:w val="0.85726272307204099"/>
          <c:h val="0.65529307668611403"/>
        </c:manualLayout>
      </c:layout>
      <c:barChart>
        <c:barDir val="col"/>
        <c:grouping val="clustered"/>
        <c:varyColors val="0"/>
        <c:ser>
          <c:idx val="0"/>
          <c:order val="0"/>
          <c:tx>
            <c:strRef>
              <c:f>Summary_data!$D$21</c:f>
              <c:strCache>
                <c:ptCount val="1"/>
                <c:pt idx="0">
                  <c:v>ASDC</c:v>
                </c:pt>
              </c:strCache>
            </c:strRef>
          </c:tx>
          <c:invertIfNegative val="0"/>
          <c:cat>
            <c:strRef>
              <c:f>Summary_data!$C$22:$C$40</c:f>
              <c:strCache>
                <c:ptCount val="19"/>
                <c:pt idx="0">
                  <c:v>FY07</c:v>
                </c:pt>
                <c:pt idx="1">
                  <c:v>FY08</c:v>
                </c:pt>
                <c:pt idx="2">
                  <c:v>FY09</c:v>
                </c:pt>
                <c:pt idx="3">
                  <c:v>FY10</c:v>
                </c:pt>
                <c:pt idx="4">
                  <c:v>FY11</c:v>
                </c:pt>
                <c:pt idx="5">
                  <c:v>FY12</c:v>
                </c:pt>
                <c:pt idx="6">
                  <c:v>FY13</c:v>
                </c:pt>
                <c:pt idx="7">
                  <c:v>FY14</c:v>
                </c:pt>
                <c:pt idx="8">
                  <c:v>FY15</c:v>
                </c:pt>
                <c:pt idx="9">
                  <c:v>FY16</c:v>
                </c:pt>
                <c:pt idx="10">
                  <c:v>FY17</c:v>
                </c:pt>
                <c:pt idx="11">
                  <c:v>FY18</c:v>
                </c:pt>
                <c:pt idx="12">
                  <c:v>FY19</c:v>
                </c:pt>
                <c:pt idx="13">
                  <c:v>FY20</c:v>
                </c:pt>
                <c:pt idx="14">
                  <c:v>FY21</c:v>
                </c:pt>
                <c:pt idx="15">
                  <c:v>FY22</c:v>
                </c:pt>
                <c:pt idx="16">
                  <c:v>FY23</c:v>
                </c:pt>
                <c:pt idx="17">
                  <c:v>FY24</c:v>
                </c:pt>
                <c:pt idx="18">
                  <c:v>FY25</c:v>
                </c:pt>
              </c:strCache>
            </c:strRef>
          </c:cat>
          <c:val>
            <c:numRef>
              <c:f>Summary_data!$D$22:$D$40</c:f>
              <c:numCache>
                <c:formatCode>_(* #,##0.0_);_(* \(#,##0.0\);_(* "-"??_);_(@_)</c:formatCode>
                <c:ptCount val="19"/>
                <c:pt idx="0">
                  <c:v>0</c:v>
                </c:pt>
                <c:pt idx="1">
                  <c:v>3.5718839999999998</c:v>
                </c:pt>
                <c:pt idx="2">
                  <c:v>5.1073000000000004</c:v>
                </c:pt>
                <c:pt idx="3">
                  <c:v>4.4062020000000004</c:v>
                </c:pt>
                <c:pt idx="4">
                  <c:v>5.042249</c:v>
                </c:pt>
                <c:pt idx="5">
                  <c:v>10.626249</c:v>
                </c:pt>
                <c:pt idx="6">
                  <c:v>10.212370999999999</c:v>
                </c:pt>
                <c:pt idx="7">
                  <c:v>15.472293000000001</c:v>
                </c:pt>
                <c:pt idx="8">
                  <c:v>15.943277</c:v>
                </c:pt>
                <c:pt idx="9">
                  <c:v>18.483861999999998</c:v>
                </c:pt>
                <c:pt idx="10">
                  <c:v>31.037472000000001</c:v>
                </c:pt>
                <c:pt idx="11">
                  <c:v>26.575334999999999</c:v>
                </c:pt>
                <c:pt idx="12">
                  <c:v>36.577519000000002</c:v>
                </c:pt>
                <c:pt idx="13">
                  <c:v>22.938811000000001</c:v>
                </c:pt>
                <c:pt idx="14">
                  <c:v>24.043609</c:v>
                </c:pt>
                <c:pt idx="15">
                  <c:v>24.136044999999999</c:v>
                </c:pt>
                <c:pt idx="16">
                  <c:v>27.930698</c:v>
                </c:pt>
                <c:pt idx="17">
                  <c:v>46.231842999999998</c:v>
                </c:pt>
                <c:pt idx="18">
                  <c:v>64.438758000000007</c:v>
                </c:pt>
              </c:numCache>
            </c:numRef>
          </c:val>
          <c:extLst>
            <c:ext xmlns:c16="http://schemas.microsoft.com/office/drawing/2014/chart" uri="{C3380CC4-5D6E-409C-BE32-E72D297353CC}">
              <c16:uniqueId val="{00000000-6B4F-C245-8FB5-91DAE999A8BF}"/>
            </c:ext>
          </c:extLst>
        </c:ser>
        <c:dLbls>
          <c:showLegendKey val="0"/>
          <c:showVal val="0"/>
          <c:showCatName val="0"/>
          <c:showSerName val="0"/>
          <c:showPercent val="0"/>
          <c:showBubbleSize val="0"/>
        </c:dLbls>
        <c:gapWidth val="150"/>
        <c:axId val="361722272"/>
        <c:axId val="361713024"/>
      </c:barChart>
      <c:catAx>
        <c:axId val="361722272"/>
        <c:scaling>
          <c:orientation val="minMax"/>
        </c:scaling>
        <c:delete val="0"/>
        <c:axPos val="b"/>
        <c:title>
          <c:tx>
            <c:rich>
              <a:bodyPr/>
              <a:lstStyle/>
              <a:p>
                <a:pPr>
                  <a:defRPr sz="1200"/>
                </a:pPr>
                <a:r>
                  <a:rPr lang="en-US" sz="1200"/>
                  <a:t>Fiscal Year</a:t>
                </a:r>
              </a:p>
            </c:rich>
          </c:tx>
          <c:layout>
            <c:manualLayout>
              <c:xMode val="edge"/>
              <c:yMode val="edge"/>
              <c:x val="0.51269424232162897"/>
              <c:y val="0.91856945601153805"/>
            </c:manualLayout>
          </c:layout>
          <c:overlay val="0"/>
        </c:title>
        <c:numFmt formatCode="General" sourceLinked="0"/>
        <c:majorTickMark val="out"/>
        <c:minorTickMark val="none"/>
        <c:tickLblPos val="nextTo"/>
        <c:txPr>
          <a:bodyPr/>
          <a:lstStyle/>
          <a:p>
            <a:pPr>
              <a:defRPr sz="1200" b="0" baseline="0">
                <a:latin typeface="+mn-lt"/>
                <a:cs typeface="Arial" panose="020B0604020202020204" pitchFamily="34" charset="0"/>
              </a:defRPr>
            </a:pPr>
            <a:endParaRPr lang="en-US"/>
          </a:p>
        </c:txPr>
        <c:crossAx val="361713024"/>
        <c:crosses val="autoZero"/>
        <c:auto val="1"/>
        <c:lblAlgn val="ctr"/>
        <c:lblOffset val="100"/>
        <c:noMultiLvlLbl val="0"/>
      </c:catAx>
      <c:valAx>
        <c:axId val="361713024"/>
        <c:scaling>
          <c:orientation val="minMax"/>
        </c:scaling>
        <c:delete val="0"/>
        <c:axPos val="l"/>
        <c:majorGridlines/>
        <c:title>
          <c:tx>
            <c:rich>
              <a:bodyPr/>
              <a:lstStyle/>
              <a:p>
                <a:pPr>
                  <a:defRPr sz="1200"/>
                </a:pPr>
                <a:r>
                  <a:rPr lang="en-US" sz="1200"/>
                  <a:t>Product Distributed (Millions)</a:t>
                </a:r>
              </a:p>
            </c:rich>
          </c:tx>
          <c:layout>
            <c:manualLayout>
              <c:xMode val="edge"/>
              <c:yMode val="edge"/>
              <c:x val="1.6285028493567399E-2"/>
              <c:y val="0.17328868888728299"/>
            </c:manualLayout>
          </c:layout>
          <c:overlay val="0"/>
        </c:title>
        <c:numFmt formatCode="#,##0" sourceLinked="0"/>
        <c:majorTickMark val="out"/>
        <c:minorTickMark val="none"/>
        <c:tickLblPos val="nextTo"/>
        <c:spPr>
          <a:ln>
            <a:solidFill>
              <a:schemeClr val="bg1">
                <a:lumMod val="50000"/>
              </a:schemeClr>
            </a:solidFill>
          </a:ln>
        </c:spPr>
        <c:txPr>
          <a:bodyPr/>
          <a:lstStyle/>
          <a:p>
            <a:pPr>
              <a:defRPr sz="1200">
                <a:latin typeface="+mn-lt"/>
                <a:cs typeface="Arial" panose="020B0604020202020204" pitchFamily="34" charset="0"/>
              </a:defRPr>
            </a:pPr>
            <a:endParaRPr lang="en-US"/>
          </a:p>
        </c:txPr>
        <c:crossAx val="361722272"/>
        <c:crosses val="autoZero"/>
        <c:crossBetween val="between"/>
      </c:valAx>
      <c:spPr>
        <a:ln>
          <a:solidFill>
            <a:schemeClr val="bg1">
              <a:lumMod val="50000"/>
            </a:schemeClr>
          </a:solidFill>
          <a:prstDash val="solid"/>
        </a:ln>
      </c:spPr>
    </c:plotArea>
    <c:plotVisOnly val="1"/>
    <c:dispBlanksAs val="gap"/>
    <c:showDLblsOverMax val="0"/>
  </c:chart>
  <c:printSettings>
    <c:headerFooter/>
    <c:pageMargins b="0.750000000000004" l="0.70000000000000095" r="0.70000000000000095" t="0.750000000000004"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8982927746641"/>
          <c:y val="0.14901950216041901"/>
          <c:w val="0.85018015139071501"/>
          <c:h val="0.68891197860574704"/>
        </c:manualLayout>
      </c:layout>
      <c:lineChart>
        <c:grouping val="standard"/>
        <c:varyColors val="0"/>
        <c:ser>
          <c:idx val="0"/>
          <c:order val="0"/>
          <c:tx>
            <c:strRef>
              <c:f>data!$J$176</c:f>
              <c:strCache>
                <c:ptCount val="1"/>
                <c:pt idx="0">
                  <c:v>NSIDC</c:v>
                </c:pt>
              </c:strCache>
            </c:strRef>
          </c:tx>
          <c:marker>
            <c:symbol val="none"/>
          </c:marker>
          <c:cat>
            <c:strRef>
              <c:f>data!$A$177:$A$191</c:f>
              <c:strCache>
                <c:ptCount val="15"/>
                <c:pt idx="0">
                  <c:v>FY08</c:v>
                </c:pt>
                <c:pt idx="1">
                  <c:v>FY09</c:v>
                </c:pt>
                <c:pt idx="2">
                  <c:v>FY10</c:v>
                </c:pt>
                <c:pt idx="3">
                  <c:v>FY11</c:v>
                </c:pt>
                <c:pt idx="4">
                  <c:v>FY12</c:v>
                </c:pt>
                <c:pt idx="5">
                  <c:v>FY13</c:v>
                </c:pt>
                <c:pt idx="6">
                  <c:v>FY14</c:v>
                </c:pt>
                <c:pt idx="7">
                  <c:v>FY15</c:v>
                </c:pt>
                <c:pt idx="8">
                  <c:v>FY16</c:v>
                </c:pt>
                <c:pt idx="9">
                  <c:v>FY17</c:v>
                </c:pt>
                <c:pt idx="10">
                  <c:v>FY18</c:v>
                </c:pt>
                <c:pt idx="11">
                  <c:v>FY19</c:v>
                </c:pt>
                <c:pt idx="12">
                  <c:v>FY20</c:v>
                </c:pt>
                <c:pt idx="13">
                  <c:v>FY21</c:v>
                </c:pt>
                <c:pt idx="14">
                  <c:v>FY22</c:v>
                </c:pt>
              </c:strCache>
            </c:strRef>
          </c:cat>
          <c:val>
            <c:numRef>
              <c:f>data!$J$177:$J$191</c:f>
              <c:numCache>
                <c:formatCode>0.0%</c:formatCode>
                <c:ptCount val="15"/>
                <c:pt idx="0">
                  <c:v>2.2101237652255103E-2</c:v>
                </c:pt>
                <c:pt idx="1">
                  <c:v>3.9931447566698966E-3</c:v>
                </c:pt>
                <c:pt idx="2">
                  <c:v>6.7906928177372478E-3</c:v>
                </c:pt>
                <c:pt idx="3">
                  <c:v>1.4999808587129399E-3</c:v>
                </c:pt>
                <c:pt idx="4">
                  <c:v>1.9530765487696666E-2</c:v>
                </c:pt>
                <c:pt idx="5">
                  <c:v>7.6260909433726798E-3</c:v>
                </c:pt>
                <c:pt idx="6">
                  <c:v>2.2872950029919167E-2</c:v>
                </c:pt>
                <c:pt idx="7">
                  <c:v>2.2209925097333938E-2</c:v>
                </c:pt>
                <c:pt idx="8">
                  <c:v>2.1062864549578744E-2</c:v>
                </c:pt>
                <c:pt idx="9">
                  <c:v>2.854713716836561E-2</c:v>
                </c:pt>
                <c:pt idx="10">
                  <c:v>1.6933669693787727E-2</c:v>
                </c:pt>
                <c:pt idx="11">
                  <c:v>1.2598580677588827E-2</c:v>
                </c:pt>
              </c:numCache>
            </c:numRef>
          </c:val>
          <c:smooth val="0"/>
          <c:extLst>
            <c:ext xmlns:c16="http://schemas.microsoft.com/office/drawing/2014/chart" uri="{C3380CC4-5D6E-409C-BE32-E72D297353CC}">
              <c16:uniqueId val="{00000000-1664-E841-AC3D-5C5FFA040DD8}"/>
            </c:ext>
          </c:extLst>
        </c:ser>
        <c:dLbls>
          <c:showLegendKey val="0"/>
          <c:showVal val="0"/>
          <c:showCatName val="0"/>
          <c:showSerName val="0"/>
          <c:showPercent val="0"/>
          <c:showBubbleSize val="0"/>
        </c:dLbls>
        <c:smooth val="0"/>
        <c:axId val="412592128"/>
        <c:axId val="412583968"/>
      </c:lineChart>
      <c:catAx>
        <c:axId val="412592128"/>
        <c:scaling>
          <c:orientation val="minMax"/>
        </c:scaling>
        <c:delete val="0"/>
        <c:axPos val="b"/>
        <c:title>
          <c:tx>
            <c:rich>
              <a:bodyPr/>
              <a:lstStyle/>
              <a:p>
                <a:pPr>
                  <a:defRPr sz="1200"/>
                </a:pPr>
                <a:r>
                  <a:rPr lang="en-US" sz="1200"/>
                  <a:t>Fiscal Year</a:t>
                </a:r>
              </a:p>
            </c:rich>
          </c:tx>
          <c:layout>
            <c:manualLayout>
              <c:xMode val="edge"/>
              <c:yMode val="edge"/>
              <c:x val="0.48422756091902203"/>
              <c:y val="0.91945592070692705"/>
            </c:manualLayout>
          </c:layout>
          <c:overlay val="0"/>
        </c:title>
        <c:numFmt formatCode="General" sourceLinked="0"/>
        <c:majorTickMark val="out"/>
        <c:minorTickMark val="none"/>
        <c:tickLblPos val="nextTo"/>
        <c:txPr>
          <a:bodyPr/>
          <a:lstStyle/>
          <a:p>
            <a:pPr>
              <a:defRPr sz="1200" b="0" baseline="0">
                <a:latin typeface="+mn-lt"/>
                <a:cs typeface="Arial" panose="020B0604020202020204" pitchFamily="34" charset="0"/>
              </a:defRPr>
            </a:pPr>
            <a:endParaRPr lang="en-US"/>
          </a:p>
        </c:txPr>
        <c:crossAx val="412583968"/>
        <c:crosses val="autoZero"/>
        <c:auto val="1"/>
        <c:lblAlgn val="ctr"/>
        <c:lblOffset val="100"/>
        <c:noMultiLvlLbl val="0"/>
      </c:catAx>
      <c:valAx>
        <c:axId val="412583968"/>
        <c:scaling>
          <c:orientation val="minMax"/>
        </c:scaling>
        <c:delete val="0"/>
        <c:axPos val="l"/>
        <c:majorGridlines/>
        <c:title>
          <c:tx>
            <c:rich>
              <a:bodyPr/>
              <a:lstStyle/>
              <a:p>
                <a:pPr>
                  <a:defRPr sz="1200"/>
                </a:pPr>
                <a:r>
                  <a:rPr lang="en-US" sz="1200"/>
                  <a:t>Percentage</a:t>
                </a:r>
              </a:p>
            </c:rich>
          </c:tx>
          <c:layout>
            <c:manualLayout>
              <c:xMode val="edge"/>
              <c:yMode val="edge"/>
              <c:x val="4.8473441747445998E-3"/>
              <c:y val="0.36539536980201598"/>
            </c:manualLayout>
          </c:layout>
          <c:overlay val="0"/>
        </c:title>
        <c:numFmt formatCode="0.0%" sourceLinked="0"/>
        <c:majorTickMark val="out"/>
        <c:minorTickMark val="none"/>
        <c:tickLblPos val="nextTo"/>
        <c:txPr>
          <a:bodyPr/>
          <a:lstStyle/>
          <a:p>
            <a:pPr>
              <a:defRPr sz="1200">
                <a:solidFill>
                  <a:sysClr val="windowText" lastClr="000000"/>
                </a:solidFill>
                <a:latin typeface="+mn-lt"/>
                <a:cs typeface="Arial" panose="020B0604020202020204" pitchFamily="34" charset="0"/>
              </a:defRPr>
            </a:pPr>
            <a:endParaRPr lang="en-US"/>
          </a:p>
        </c:txPr>
        <c:crossAx val="412592128"/>
        <c:crosses val="autoZero"/>
        <c:crossBetween val="between"/>
      </c:valAx>
      <c:spPr>
        <a:ln>
          <a:solidFill>
            <a:schemeClr val="bg1">
              <a:lumMod val="50000"/>
            </a:schemeClr>
          </a:solidFill>
          <a:prstDash val="solid"/>
        </a:ln>
      </c:spPr>
    </c:plotArea>
    <c:plotVisOnly val="1"/>
    <c:dispBlanksAs val="gap"/>
    <c:showDLblsOverMax val="0"/>
  </c:chart>
  <c:printSettings>
    <c:headerFooter/>
    <c:pageMargins b="0.750000000000004" l="0.70000000000000095" r="0.70000000000000095" t="0.750000000000004" header="0.3" footer="0.3"/>
    <c:pageSetup/>
  </c:printSettings>
  <c:userShapes r:id="rId1"/>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a:latin typeface="+mn-lt"/>
                <a:cs typeface="Arial" panose="020B0604020202020204" pitchFamily="34" charset="0"/>
              </a:defRPr>
            </a:pPr>
            <a:r>
              <a:rPr lang="en-US"/>
              <a:t>NSIDC Multi-Year Product Distribution Trend</a:t>
            </a:r>
          </a:p>
        </c:rich>
      </c:tx>
      <c:layout>
        <c:manualLayout>
          <c:xMode val="edge"/>
          <c:yMode val="edge"/>
          <c:x val="0.219374642226661"/>
          <c:y val="4.2874122560153598E-2"/>
        </c:manualLayout>
      </c:layout>
      <c:overlay val="0"/>
    </c:title>
    <c:autoTitleDeleted val="0"/>
    <c:plotArea>
      <c:layout>
        <c:manualLayout>
          <c:layoutTarget val="inner"/>
          <c:xMode val="edge"/>
          <c:yMode val="edge"/>
          <c:x val="0.12813348110180017"/>
          <c:y val="0.18225294239347301"/>
          <c:w val="0.84223682291260837"/>
          <c:h val="0.65529307668611403"/>
        </c:manualLayout>
      </c:layout>
      <c:barChart>
        <c:barDir val="col"/>
        <c:grouping val="clustered"/>
        <c:varyColors val="0"/>
        <c:ser>
          <c:idx val="0"/>
          <c:order val="0"/>
          <c:tx>
            <c:strRef>
              <c:f>Summary_data!$L$21</c:f>
              <c:strCache>
                <c:ptCount val="1"/>
                <c:pt idx="0">
                  <c:v>NSIDC</c:v>
                </c:pt>
              </c:strCache>
            </c:strRef>
          </c:tx>
          <c:invertIfNegative val="0"/>
          <c:cat>
            <c:strRef>
              <c:f>Summary_data!$C$22:$C$40</c:f>
              <c:strCache>
                <c:ptCount val="19"/>
                <c:pt idx="0">
                  <c:v>FY07</c:v>
                </c:pt>
                <c:pt idx="1">
                  <c:v>FY08</c:v>
                </c:pt>
                <c:pt idx="2">
                  <c:v>FY09</c:v>
                </c:pt>
                <c:pt idx="3">
                  <c:v>FY10</c:v>
                </c:pt>
                <c:pt idx="4">
                  <c:v>FY11</c:v>
                </c:pt>
                <c:pt idx="5">
                  <c:v>FY12</c:v>
                </c:pt>
                <c:pt idx="6">
                  <c:v>FY13</c:v>
                </c:pt>
                <c:pt idx="7">
                  <c:v>FY14</c:v>
                </c:pt>
                <c:pt idx="8">
                  <c:v>FY15</c:v>
                </c:pt>
                <c:pt idx="9">
                  <c:v>FY16</c:v>
                </c:pt>
                <c:pt idx="10">
                  <c:v>FY17</c:v>
                </c:pt>
                <c:pt idx="11">
                  <c:v>FY18</c:v>
                </c:pt>
                <c:pt idx="12">
                  <c:v>FY19</c:v>
                </c:pt>
                <c:pt idx="13">
                  <c:v>FY20</c:v>
                </c:pt>
                <c:pt idx="14">
                  <c:v>FY21</c:v>
                </c:pt>
                <c:pt idx="15">
                  <c:v>FY22</c:v>
                </c:pt>
                <c:pt idx="16">
                  <c:v>FY23</c:v>
                </c:pt>
                <c:pt idx="17">
                  <c:v>FY24</c:v>
                </c:pt>
                <c:pt idx="18">
                  <c:v>FY25</c:v>
                </c:pt>
              </c:strCache>
            </c:strRef>
          </c:cat>
          <c:val>
            <c:numRef>
              <c:f>Summary_data!$L$22:$L$40</c:f>
              <c:numCache>
                <c:formatCode>_(* #,##0.0_);_(* \(#,##0.0\);_(* "-"??_);_(@_)</c:formatCode>
                <c:ptCount val="19"/>
                <c:pt idx="0">
                  <c:v>0.64234100000000005</c:v>
                </c:pt>
                <c:pt idx="1">
                  <c:v>10.732725</c:v>
                </c:pt>
                <c:pt idx="2">
                  <c:v>17.247733</c:v>
                </c:pt>
                <c:pt idx="3">
                  <c:v>22.897912999999999</c:v>
                </c:pt>
                <c:pt idx="4">
                  <c:v>20.180631999999999</c:v>
                </c:pt>
                <c:pt idx="5">
                  <c:v>24.339347</c:v>
                </c:pt>
                <c:pt idx="6">
                  <c:v>38.223084999999998</c:v>
                </c:pt>
                <c:pt idx="7">
                  <c:v>67.730322000000001</c:v>
                </c:pt>
                <c:pt idx="8">
                  <c:v>70.647366000000005</c:v>
                </c:pt>
                <c:pt idx="9">
                  <c:v>82.185432000000006</c:v>
                </c:pt>
                <c:pt idx="10">
                  <c:v>102.272879</c:v>
                </c:pt>
                <c:pt idx="11">
                  <c:v>157.13142500000001</c:v>
                </c:pt>
                <c:pt idx="12">
                  <c:v>68.86139</c:v>
                </c:pt>
                <c:pt idx="13">
                  <c:v>81.46244999999999</c:v>
                </c:pt>
                <c:pt idx="14">
                  <c:v>64.506292000000002</c:v>
                </c:pt>
                <c:pt idx="15">
                  <c:v>87.339473999999996</c:v>
                </c:pt>
                <c:pt idx="16">
                  <c:v>130.018663</c:v>
                </c:pt>
                <c:pt idx="17">
                  <c:v>156.046595</c:v>
                </c:pt>
                <c:pt idx="18">
                  <c:v>308.29813300000001</c:v>
                </c:pt>
              </c:numCache>
            </c:numRef>
          </c:val>
          <c:extLst>
            <c:ext xmlns:c16="http://schemas.microsoft.com/office/drawing/2014/chart" uri="{C3380CC4-5D6E-409C-BE32-E72D297353CC}">
              <c16:uniqueId val="{00000000-F091-5542-B67D-7A40D6F00883}"/>
            </c:ext>
          </c:extLst>
        </c:ser>
        <c:dLbls>
          <c:showLegendKey val="0"/>
          <c:showVal val="0"/>
          <c:showCatName val="0"/>
          <c:showSerName val="0"/>
          <c:showPercent val="0"/>
          <c:showBubbleSize val="0"/>
        </c:dLbls>
        <c:gapWidth val="150"/>
        <c:axId val="412577984"/>
        <c:axId val="412578528"/>
      </c:barChart>
      <c:catAx>
        <c:axId val="412577984"/>
        <c:scaling>
          <c:orientation val="minMax"/>
        </c:scaling>
        <c:delete val="0"/>
        <c:axPos val="b"/>
        <c:title>
          <c:tx>
            <c:rich>
              <a:bodyPr/>
              <a:lstStyle/>
              <a:p>
                <a:pPr>
                  <a:defRPr sz="1200"/>
                </a:pPr>
                <a:r>
                  <a:rPr lang="en-US" sz="1200"/>
                  <a:t>Fiscal Year</a:t>
                </a:r>
              </a:p>
            </c:rich>
          </c:tx>
          <c:layout>
            <c:manualLayout>
              <c:xMode val="edge"/>
              <c:yMode val="edge"/>
              <c:x val="0.51269424232162897"/>
              <c:y val="0.91856945601153805"/>
            </c:manualLayout>
          </c:layout>
          <c:overlay val="0"/>
        </c:title>
        <c:numFmt formatCode="General" sourceLinked="0"/>
        <c:majorTickMark val="out"/>
        <c:minorTickMark val="none"/>
        <c:tickLblPos val="nextTo"/>
        <c:txPr>
          <a:bodyPr/>
          <a:lstStyle/>
          <a:p>
            <a:pPr>
              <a:defRPr sz="1200" b="0" baseline="0">
                <a:latin typeface="+mn-lt"/>
                <a:cs typeface="Arial" panose="020B0604020202020204" pitchFamily="34" charset="0"/>
              </a:defRPr>
            </a:pPr>
            <a:endParaRPr lang="en-US"/>
          </a:p>
        </c:txPr>
        <c:crossAx val="412578528"/>
        <c:crosses val="autoZero"/>
        <c:auto val="1"/>
        <c:lblAlgn val="ctr"/>
        <c:lblOffset val="100"/>
        <c:noMultiLvlLbl val="0"/>
      </c:catAx>
      <c:valAx>
        <c:axId val="412578528"/>
        <c:scaling>
          <c:orientation val="minMax"/>
        </c:scaling>
        <c:delete val="0"/>
        <c:axPos val="l"/>
        <c:majorGridlines/>
        <c:title>
          <c:tx>
            <c:rich>
              <a:bodyPr/>
              <a:lstStyle/>
              <a:p>
                <a:pPr>
                  <a:defRPr sz="1200"/>
                </a:pPr>
                <a:r>
                  <a:rPr lang="en-US" sz="1200"/>
                  <a:t>Product Distributed (Millions)</a:t>
                </a:r>
              </a:p>
            </c:rich>
          </c:tx>
          <c:layout>
            <c:manualLayout>
              <c:xMode val="edge"/>
              <c:yMode val="edge"/>
              <c:x val="1.6285028493567399E-2"/>
              <c:y val="0.17328868888728299"/>
            </c:manualLayout>
          </c:layout>
          <c:overlay val="0"/>
        </c:title>
        <c:numFmt formatCode="#,##0" sourceLinked="0"/>
        <c:majorTickMark val="out"/>
        <c:minorTickMark val="none"/>
        <c:tickLblPos val="nextTo"/>
        <c:spPr>
          <a:ln>
            <a:solidFill>
              <a:schemeClr val="bg1">
                <a:lumMod val="50000"/>
              </a:schemeClr>
            </a:solidFill>
          </a:ln>
        </c:spPr>
        <c:txPr>
          <a:bodyPr/>
          <a:lstStyle/>
          <a:p>
            <a:pPr>
              <a:defRPr sz="1200">
                <a:latin typeface="+mn-lt"/>
                <a:cs typeface="Arial" panose="020B0604020202020204" pitchFamily="34" charset="0"/>
              </a:defRPr>
            </a:pPr>
            <a:endParaRPr lang="en-US"/>
          </a:p>
        </c:txPr>
        <c:crossAx val="412577984"/>
        <c:crosses val="autoZero"/>
        <c:crossBetween val="between"/>
      </c:valAx>
      <c:spPr>
        <a:ln>
          <a:solidFill>
            <a:schemeClr val="bg1">
              <a:lumMod val="50000"/>
            </a:schemeClr>
          </a:solidFill>
          <a:prstDash val="solid"/>
        </a:ln>
      </c:spPr>
    </c:plotArea>
    <c:plotVisOnly val="1"/>
    <c:dispBlanksAs val="gap"/>
    <c:showDLblsOverMax val="0"/>
  </c:chart>
  <c:printSettings>
    <c:headerFooter/>
    <c:pageMargins b="0.750000000000004" l="0.70000000000000095" r="0.70000000000000095" t="0.750000000000004"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64617039265194"/>
          <c:y val="0.143607581541664"/>
          <c:w val="0.798349496295651"/>
          <c:h val="0.70576857582792596"/>
        </c:manualLayout>
      </c:layout>
      <c:barChart>
        <c:barDir val="col"/>
        <c:grouping val="clustered"/>
        <c:varyColors val="0"/>
        <c:ser>
          <c:idx val="0"/>
          <c:order val="0"/>
          <c:tx>
            <c:strRef>
              <c:f>data!$Z$283</c:f>
              <c:strCache>
                <c:ptCount val="1"/>
                <c:pt idx="0">
                  <c:v>VISITS</c:v>
                </c:pt>
              </c:strCache>
            </c:strRef>
          </c:tx>
          <c:invertIfNegative val="0"/>
          <c:cat>
            <c:strRef>
              <c:f>data!$A$284:$A$302</c:f>
              <c:strCache>
                <c:ptCount val="19"/>
                <c:pt idx="0">
                  <c:v>FY07</c:v>
                </c:pt>
                <c:pt idx="1">
                  <c:v>FY08</c:v>
                </c:pt>
                <c:pt idx="2">
                  <c:v>FY09</c:v>
                </c:pt>
                <c:pt idx="3">
                  <c:v>FY10</c:v>
                </c:pt>
                <c:pt idx="4">
                  <c:v>FY11</c:v>
                </c:pt>
                <c:pt idx="5">
                  <c:v>FY12</c:v>
                </c:pt>
                <c:pt idx="6">
                  <c:v>FY13</c:v>
                </c:pt>
                <c:pt idx="7">
                  <c:v>FY14</c:v>
                </c:pt>
                <c:pt idx="8">
                  <c:v>FY15</c:v>
                </c:pt>
                <c:pt idx="9">
                  <c:v>FY16</c:v>
                </c:pt>
                <c:pt idx="10">
                  <c:v>FY17</c:v>
                </c:pt>
                <c:pt idx="11">
                  <c:v>FY18</c:v>
                </c:pt>
                <c:pt idx="12">
                  <c:v>FY19</c:v>
                </c:pt>
                <c:pt idx="13">
                  <c:v>FY20</c:v>
                </c:pt>
                <c:pt idx="14">
                  <c:v>FY21</c:v>
                </c:pt>
                <c:pt idx="15">
                  <c:v>FY22</c:v>
                </c:pt>
                <c:pt idx="16">
                  <c:v>FY23</c:v>
                </c:pt>
                <c:pt idx="17">
                  <c:v>FY24</c:v>
                </c:pt>
                <c:pt idx="18">
                  <c:v>FY25</c:v>
                </c:pt>
              </c:strCache>
            </c:strRef>
          </c:cat>
          <c:val>
            <c:numRef>
              <c:f>data!$Z$284:$Z$302</c:f>
              <c:numCache>
                <c:formatCode>_(* #,##0_);_(* \(#,##0\);_(* "-"??_);_(@_)</c:formatCode>
                <c:ptCount val="19"/>
                <c:pt idx="0">
                  <c:v>257646</c:v>
                </c:pt>
                <c:pt idx="1">
                  <c:v>347349</c:v>
                </c:pt>
                <c:pt idx="2">
                  <c:v>440891</c:v>
                </c:pt>
                <c:pt idx="3">
                  <c:v>435375</c:v>
                </c:pt>
                <c:pt idx="4">
                  <c:v>425601</c:v>
                </c:pt>
                <c:pt idx="5">
                  <c:v>536704</c:v>
                </c:pt>
                <c:pt idx="6">
                  <c:v>629406</c:v>
                </c:pt>
                <c:pt idx="7">
                  <c:v>645434</c:v>
                </c:pt>
                <c:pt idx="8">
                  <c:v>729565</c:v>
                </c:pt>
                <c:pt idx="9">
                  <c:v>766328</c:v>
                </c:pt>
                <c:pt idx="10">
                  <c:v>857579</c:v>
                </c:pt>
                <c:pt idx="11">
                  <c:v>798789</c:v>
                </c:pt>
                <c:pt idx="12">
                  <c:v>927701</c:v>
                </c:pt>
                <c:pt idx="13">
                  <c:v>767413</c:v>
                </c:pt>
                <c:pt idx="14">
                  <c:v>669496</c:v>
                </c:pt>
                <c:pt idx="15">
                  <c:v>539695</c:v>
                </c:pt>
                <c:pt idx="16">
                  <c:v>466207</c:v>
                </c:pt>
                <c:pt idx="17">
                  <c:v>1334225</c:v>
                </c:pt>
                <c:pt idx="18">
                  <c:v>3328521</c:v>
                </c:pt>
              </c:numCache>
            </c:numRef>
          </c:val>
          <c:extLst>
            <c:ext xmlns:c16="http://schemas.microsoft.com/office/drawing/2014/chart" uri="{C3380CC4-5D6E-409C-BE32-E72D297353CC}">
              <c16:uniqueId val="{00000000-1282-F042-AC8C-502F363904F6}"/>
            </c:ext>
          </c:extLst>
        </c:ser>
        <c:ser>
          <c:idx val="1"/>
          <c:order val="1"/>
          <c:tx>
            <c:strRef>
              <c:f>data!$AA$283</c:f>
              <c:strCache>
                <c:ptCount val="1"/>
                <c:pt idx="0">
                  <c:v>VIEWS</c:v>
                </c:pt>
              </c:strCache>
            </c:strRef>
          </c:tx>
          <c:invertIfNegative val="0"/>
          <c:cat>
            <c:strRef>
              <c:f>data!$A$284:$A$302</c:f>
              <c:strCache>
                <c:ptCount val="19"/>
                <c:pt idx="0">
                  <c:v>FY07</c:v>
                </c:pt>
                <c:pt idx="1">
                  <c:v>FY08</c:v>
                </c:pt>
                <c:pt idx="2">
                  <c:v>FY09</c:v>
                </c:pt>
                <c:pt idx="3">
                  <c:v>FY10</c:v>
                </c:pt>
                <c:pt idx="4">
                  <c:v>FY11</c:v>
                </c:pt>
                <c:pt idx="5">
                  <c:v>FY12</c:v>
                </c:pt>
                <c:pt idx="6">
                  <c:v>FY13</c:v>
                </c:pt>
                <c:pt idx="7">
                  <c:v>FY14</c:v>
                </c:pt>
                <c:pt idx="8">
                  <c:v>FY15</c:v>
                </c:pt>
                <c:pt idx="9">
                  <c:v>FY16</c:v>
                </c:pt>
                <c:pt idx="10">
                  <c:v>FY17</c:v>
                </c:pt>
                <c:pt idx="11">
                  <c:v>FY18</c:v>
                </c:pt>
                <c:pt idx="12">
                  <c:v>FY19</c:v>
                </c:pt>
                <c:pt idx="13">
                  <c:v>FY20</c:v>
                </c:pt>
                <c:pt idx="14">
                  <c:v>FY21</c:v>
                </c:pt>
                <c:pt idx="15">
                  <c:v>FY22</c:v>
                </c:pt>
                <c:pt idx="16">
                  <c:v>FY23</c:v>
                </c:pt>
                <c:pt idx="17">
                  <c:v>FY24</c:v>
                </c:pt>
                <c:pt idx="18">
                  <c:v>FY25</c:v>
                </c:pt>
              </c:strCache>
            </c:strRef>
          </c:cat>
          <c:val>
            <c:numRef>
              <c:f>data!$AA$284:$AA$302</c:f>
              <c:numCache>
                <c:formatCode>_(* #,##0_);_(* \(#,##0\);_(* "-"??_);_(@_)</c:formatCode>
                <c:ptCount val="19"/>
                <c:pt idx="0">
                  <c:v>2285747</c:v>
                </c:pt>
                <c:pt idx="1">
                  <c:v>2710866</c:v>
                </c:pt>
                <c:pt idx="2">
                  <c:v>3202873</c:v>
                </c:pt>
                <c:pt idx="3">
                  <c:v>2700947</c:v>
                </c:pt>
                <c:pt idx="4">
                  <c:v>3745528</c:v>
                </c:pt>
                <c:pt idx="5">
                  <c:v>3727105</c:v>
                </c:pt>
                <c:pt idx="6">
                  <c:v>3935194</c:v>
                </c:pt>
                <c:pt idx="7">
                  <c:v>3629180</c:v>
                </c:pt>
                <c:pt idx="8">
                  <c:v>4032173</c:v>
                </c:pt>
                <c:pt idx="9">
                  <c:v>3772779</c:v>
                </c:pt>
                <c:pt idx="10">
                  <c:v>4071275</c:v>
                </c:pt>
                <c:pt idx="11">
                  <c:v>3813884</c:v>
                </c:pt>
                <c:pt idx="12">
                  <c:v>4242224</c:v>
                </c:pt>
                <c:pt idx="13">
                  <c:v>3326216</c:v>
                </c:pt>
                <c:pt idx="14">
                  <c:v>2872296</c:v>
                </c:pt>
                <c:pt idx="15">
                  <c:v>2291514</c:v>
                </c:pt>
                <c:pt idx="16">
                  <c:v>1321536</c:v>
                </c:pt>
                <c:pt idx="17">
                  <c:v>2350419</c:v>
                </c:pt>
                <c:pt idx="18">
                  <c:v>2509428</c:v>
                </c:pt>
              </c:numCache>
            </c:numRef>
          </c:val>
          <c:extLst>
            <c:ext xmlns:c16="http://schemas.microsoft.com/office/drawing/2014/chart" uri="{C3380CC4-5D6E-409C-BE32-E72D297353CC}">
              <c16:uniqueId val="{00000003-1282-F042-AC8C-502F363904F6}"/>
            </c:ext>
          </c:extLst>
        </c:ser>
        <c:ser>
          <c:idx val="2"/>
          <c:order val="2"/>
          <c:tx>
            <c:strRef>
              <c:f>data!$AB$283</c:f>
              <c:strCache>
                <c:ptCount val="1"/>
                <c:pt idx="0">
                  <c:v>VISITORS</c:v>
                </c:pt>
              </c:strCache>
            </c:strRef>
          </c:tx>
          <c:invertIfNegative val="0"/>
          <c:cat>
            <c:strRef>
              <c:f>data!$A$284:$A$302</c:f>
              <c:strCache>
                <c:ptCount val="19"/>
                <c:pt idx="0">
                  <c:v>FY07</c:v>
                </c:pt>
                <c:pt idx="1">
                  <c:v>FY08</c:v>
                </c:pt>
                <c:pt idx="2">
                  <c:v>FY09</c:v>
                </c:pt>
                <c:pt idx="3">
                  <c:v>FY10</c:v>
                </c:pt>
                <c:pt idx="4">
                  <c:v>FY11</c:v>
                </c:pt>
                <c:pt idx="5">
                  <c:v>FY12</c:v>
                </c:pt>
                <c:pt idx="6">
                  <c:v>FY13</c:v>
                </c:pt>
                <c:pt idx="7">
                  <c:v>FY14</c:v>
                </c:pt>
                <c:pt idx="8">
                  <c:v>FY15</c:v>
                </c:pt>
                <c:pt idx="9">
                  <c:v>FY16</c:v>
                </c:pt>
                <c:pt idx="10">
                  <c:v>FY17</c:v>
                </c:pt>
                <c:pt idx="11">
                  <c:v>FY18</c:v>
                </c:pt>
                <c:pt idx="12">
                  <c:v>FY19</c:v>
                </c:pt>
                <c:pt idx="13">
                  <c:v>FY20</c:v>
                </c:pt>
                <c:pt idx="14">
                  <c:v>FY21</c:v>
                </c:pt>
                <c:pt idx="15">
                  <c:v>FY22</c:v>
                </c:pt>
                <c:pt idx="16">
                  <c:v>FY23</c:v>
                </c:pt>
                <c:pt idx="17">
                  <c:v>FY24</c:v>
                </c:pt>
                <c:pt idx="18">
                  <c:v>FY25</c:v>
                </c:pt>
              </c:strCache>
            </c:strRef>
          </c:cat>
          <c:val>
            <c:numRef>
              <c:f>data!$AB$284:$AB$302</c:f>
              <c:numCache>
                <c:formatCode>_(* #,##0_);_(* \(#,##0\);_(* "-"??_);_(@_)</c:formatCode>
                <c:ptCount val="19"/>
                <c:pt idx="0">
                  <c:v>187325</c:v>
                </c:pt>
                <c:pt idx="1">
                  <c:v>244569</c:v>
                </c:pt>
                <c:pt idx="2">
                  <c:v>289997</c:v>
                </c:pt>
                <c:pt idx="3">
                  <c:v>287305</c:v>
                </c:pt>
                <c:pt idx="4">
                  <c:v>287337</c:v>
                </c:pt>
                <c:pt idx="5">
                  <c:v>356268</c:v>
                </c:pt>
                <c:pt idx="6">
                  <c:v>416514</c:v>
                </c:pt>
                <c:pt idx="7">
                  <c:v>446833</c:v>
                </c:pt>
                <c:pt idx="8">
                  <c:v>505990</c:v>
                </c:pt>
                <c:pt idx="9">
                  <c:v>524620</c:v>
                </c:pt>
                <c:pt idx="10">
                  <c:v>572807</c:v>
                </c:pt>
                <c:pt idx="11">
                  <c:v>541879</c:v>
                </c:pt>
                <c:pt idx="12">
                  <c:v>529431</c:v>
                </c:pt>
                <c:pt idx="13">
                  <c:v>426051</c:v>
                </c:pt>
                <c:pt idx="14">
                  <c:v>448288</c:v>
                </c:pt>
                <c:pt idx="15">
                  <c:v>303277</c:v>
                </c:pt>
                <c:pt idx="16">
                  <c:v>296617</c:v>
                </c:pt>
                <c:pt idx="17">
                  <c:v>1024412</c:v>
                </c:pt>
                <c:pt idx="18">
                  <c:v>1872709</c:v>
                </c:pt>
              </c:numCache>
            </c:numRef>
          </c:val>
          <c:extLst>
            <c:ext xmlns:c16="http://schemas.microsoft.com/office/drawing/2014/chart" uri="{C3380CC4-5D6E-409C-BE32-E72D297353CC}">
              <c16:uniqueId val="{00000004-1282-F042-AC8C-502F363904F6}"/>
            </c:ext>
          </c:extLst>
        </c:ser>
        <c:dLbls>
          <c:showLegendKey val="0"/>
          <c:showVal val="0"/>
          <c:showCatName val="0"/>
          <c:showSerName val="0"/>
          <c:showPercent val="0"/>
          <c:showBubbleSize val="0"/>
        </c:dLbls>
        <c:gapWidth val="219"/>
        <c:overlap val="-27"/>
        <c:axId val="412579616"/>
        <c:axId val="415382016"/>
      </c:barChart>
      <c:catAx>
        <c:axId val="412579616"/>
        <c:scaling>
          <c:orientation val="minMax"/>
        </c:scaling>
        <c:delete val="0"/>
        <c:axPos val="b"/>
        <c:title>
          <c:tx>
            <c:rich>
              <a:bodyPr rot="0" spcFirstLastPara="1" vertOverflow="ellipsis" vert="horz" wrap="square" anchor="ctr" anchorCtr="1"/>
              <a:lstStyle/>
              <a:p>
                <a:pPr>
                  <a:defRPr sz="1200" b="1" i="0" u="none" strike="noStrike" kern="1200" baseline="0">
                    <a:solidFill>
                      <a:sysClr val="windowText" lastClr="000000"/>
                    </a:solidFill>
                    <a:latin typeface="+mn-lt"/>
                    <a:ea typeface="+mn-ea"/>
                    <a:cs typeface="+mn-cs"/>
                  </a:defRPr>
                </a:pPr>
                <a:r>
                  <a:rPr lang="en-US" sz="1200" b="1">
                    <a:solidFill>
                      <a:sysClr val="windowText" lastClr="000000"/>
                    </a:solidFill>
                  </a:rPr>
                  <a:t>Fiscal Year</a:t>
                </a:r>
              </a:p>
            </c:rich>
          </c:tx>
          <c:layout>
            <c:manualLayout>
              <c:xMode val="edge"/>
              <c:yMode val="edge"/>
              <c:x val="0.52015726535887796"/>
              <c:y val="0.92867232948051204"/>
            </c:manualLayout>
          </c:layout>
          <c:overlay val="0"/>
          <c:spPr>
            <a:noFill/>
            <a:ln>
              <a:noFill/>
            </a:ln>
            <a:effectLst/>
          </c:spPr>
        </c:title>
        <c:numFmt formatCode="General" sourceLinked="1"/>
        <c:majorTickMark val="out"/>
        <c:minorTickMark val="none"/>
        <c:tickLblPos val="nextTo"/>
        <c:spPr>
          <a:noFill/>
          <a:ln w="12700" cap="flat" cmpd="sng" algn="ctr">
            <a:solidFill>
              <a:schemeClr val="bg1">
                <a:lumMod val="50000"/>
              </a:schemeClr>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en-US"/>
          </a:p>
        </c:txPr>
        <c:crossAx val="415382016"/>
        <c:crosses val="autoZero"/>
        <c:auto val="1"/>
        <c:lblAlgn val="ctr"/>
        <c:lblOffset val="100"/>
        <c:noMultiLvlLbl val="0"/>
      </c:catAx>
      <c:valAx>
        <c:axId val="415382016"/>
        <c:scaling>
          <c:orientation val="minMax"/>
        </c:scaling>
        <c:delete val="0"/>
        <c:axPos val="l"/>
        <c:majorGridlines>
          <c:spPr>
            <a:ln w="9525" cap="flat" cmpd="sng" algn="ctr">
              <a:solidFill>
                <a:schemeClr val="bg1">
                  <a:lumMod val="50000"/>
                </a:schemeClr>
              </a:solidFill>
              <a:round/>
            </a:ln>
            <a:effectLst/>
          </c:spPr>
        </c:majorGridlines>
        <c:title>
          <c:tx>
            <c:rich>
              <a:bodyPr rot="-5400000" spcFirstLastPara="1" vertOverflow="ellipsis" vert="horz" wrap="square" anchor="ctr" anchorCtr="1"/>
              <a:lstStyle/>
              <a:p>
                <a:pPr>
                  <a:defRPr sz="1200" b="1" i="0" u="none" strike="noStrike" kern="1200" baseline="0">
                    <a:solidFill>
                      <a:sysClr val="windowText" lastClr="000000"/>
                    </a:solidFill>
                    <a:latin typeface="+mn-lt"/>
                    <a:ea typeface="+mn-ea"/>
                    <a:cs typeface="+mn-cs"/>
                  </a:defRPr>
                </a:pPr>
                <a:r>
                  <a:rPr lang="en-US" sz="1200" b="1">
                    <a:solidFill>
                      <a:sysClr val="windowText" lastClr="000000"/>
                    </a:solidFill>
                  </a:rPr>
                  <a:t>Number </a:t>
                </a:r>
              </a:p>
            </c:rich>
          </c:tx>
          <c:layout>
            <c:manualLayout>
              <c:xMode val="edge"/>
              <c:yMode val="edge"/>
              <c:x val="3.3999234192006499E-3"/>
              <c:y val="0.346614823753157"/>
            </c:manualLayout>
          </c:layout>
          <c:overlay val="0"/>
          <c:spPr>
            <a:noFill/>
            <a:ln>
              <a:noFill/>
            </a:ln>
            <a:effectLst/>
          </c:spPr>
        </c:title>
        <c:numFmt formatCode="#,##0" sourceLinked="0"/>
        <c:majorTickMark val="out"/>
        <c:minorTickMark val="none"/>
        <c:tickLblPos val="nextTo"/>
        <c:spPr>
          <a:noFill/>
          <a:ln>
            <a:solidFill>
              <a:schemeClr val="bg1">
                <a:lumMod val="50000"/>
              </a:schemeClr>
            </a:solid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en-US"/>
          </a:p>
        </c:txPr>
        <c:crossAx val="412579616"/>
        <c:crosses val="autoZero"/>
        <c:crossBetween val="between"/>
      </c:valAx>
      <c:spPr>
        <a:noFill/>
        <a:ln>
          <a:solidFill>
            <a:schemeClr val="bg1">
              <a:lumMod val="50000"/>
            </a:schemeClr>
          </a:solidFill>
        </a:ln>
        <a:effectLst/>
      </c:spPr>
    </c:plotArea>
    <c:legend>
      <c:legendPos val="b"/>
      <c:layout>
        <c:manualLayout>
          <c:xMode val="edge"/>
          <c:yMode val="edge"/>
          <c:x val="0.36778070208862929"/>
          <c:y val="0.12096856048110835"/>
          <c:w val="0.32764266896570593"/>
          <c:h val="0.10425529103759629"/>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bg1">
          <a:lumMod val="50000"/>
        </a:schemeClr>
      </a:solidFill>
      <a:round/>
    </a:ln>
    <a:effectLst/>
  </c:spPr>
  <c:txPr>
    <a:bodyPr/>
    <a:lstStyle/>
    <a:p>
      <a:pPr>
        <a:defRPr/>
      </a:pPr>
      <a:endParaRPr lang="en-US"/>
    </a:p>
  </c:txPr>
  <c:printSettings>
    <c:headerFooter/>
    <c:pageMargins b="0.75" l="0.7" r="0.7" t="0.75" header="0.3" footer="0.3"/>
    <c:pageSetup/>
  </c:printSettings>
  <c:userShapes r:id="rId1"/>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a:latin typeface="+mn-lt"/>
                <a:cs typeface="Arial" panose="020B0604020202020204" pitchFamily="34" charset="0"/>
              </a:defRPr>
            </a:pPr>
            <a:r>
              <a:rPr lang="en-US"/>
              <a:t>ORNL Multi-Year Total Archive Volume Trend</a:t>
            </a:r>
          </a:p>
        </c:rich>
      </c:tx>
      <c:layout>
        <c:manualLayout>
          <c:xMode val="edge"/>
          <c:yMode val="edge"/>
          <c:x val="0.23771134344270589"/>
          <c:y val="5.6206999585605703E-2"/>
        </c:manualLayout>
      </c:layout>
      <c:overlay val="0"/>
    </c:title>
    <c:autoTitleDeleted val="0"/>
    <c:plotArea>
      <c:layout>
        <c:manualLayout>
          <c:layoutTarget val="inner"/>
          <c:xMode val="edge"/>
          <c:yMode val="edge"/>
          <c:x val="0.156188786714438"/>
          <c:y val="0.18228668594254499"/>
          <c:w val="0.80487043883359"/>
          <c:h val="0.65076746334831104"/>
        </c:manualLayout>
      </c:layout>
      <c:barChart>
        <c:barDir val="col"/>
        <c:grouping val="clustered"/>
        <c:varyColors val="0"/>
        <c:ser>
          <c:idx val="0"/>
          <c:order val="0"/>
          <c:tx>
            <c:strRef>
              <c:f>data!$L$156</c:f>
              <c:strCache>
                <c:ptCount val="1"/>
                <c:pt idx="0">
                  <c:v>ORNL</c:v>
                </c:pt>
              </c:strCache>
            </c:strRef>
          </c:tx>
          <c:spPr>
            <a:solidFill>
              <a:schemeClr val="accent2">
                <a:lumMod val="75000"/>
              </a:schemeClr>
            </a:solidFill>
          </c:spPr>
          <c:invertIfNegative val="0"/>
          <c:cat>
            <c:strRef>
              <c:f>data!$A$157:$A$174</c:f>
              <c:strCache>
                <c:ptCount val="18"/>
                <c:pt idx="0">
                  <c:v>FY08</c:v>
                </c:pt>
                <c:pt idx="1">
                  <c:v>FY09</c:v>
                </c:pt>
                <c:pt idx="2">
                  <c:v>FY10</c:v>
                </c:pt>
                <c:pt idx="3">
                  <c:v>FY11</c:v>
                </c:pt>
                <c:pt idx="4">
                  <c:v>FY12</c:v>
                </c:pt>
                <c:pt idx="5">
                  <c:v>FY13</c:v>
                </c:pt>
                <c:pt idx="6">
                  <c:v>FY14</c:v>
                </c:pt>
                <c:pt idx="7">
                  <c:v>FY15</c:v>
                </c:pt>
                <c:pt idx="8">
                  <c:v>FY16</c:v>
                </c:pt>
                <c:pt idx="9">
                  <c:v>FY17</c:v>
                </c:pt>
                <c:pt idx="10">
                  <c:v>FY18</c:v>
                </c:pt>
                <c:pt idx="11">
                  <c:v>FY19</c:v>
                </c:pt>
                <c:pt idx="12">
                  <c:v>FY20</c:v>
                </c:pt>
                <c:pt idx="13">
                  <c:v>FY21</c:v>
                </c:pt>
                <c:pt idx="14">
                  <c:v>FY22</c:v>
                </c:pt>
                <c:pt idx="15">
                  <c:v>FY23</c:v>
                </c:pt>
                <c:pt idx="16">
                  <c:v>FY24</c:v>
                </c:pt>
                <c:pt idx="17">
                  <c:v>FY25</c:v>
                </c:pt>
              </c:strCache>
            </c:strRef>
          </c:cat>
          <c:val>
            <c:numRef>
              <c:f>data!$L$157:$L$174</c:f>
              <c:numCache>
                <c:formatCode>_(* #,##0.00_);_(* \(#,##0.00\);_(* "-"??_);_(@_)</c:formatCode>
                <c:ptCount val="18"/>
                <c:pt idx="1">
                  <c:v>0.38700000000000001</c:v>
                </c:pt>
                <c:pt idx="2">
                  <c:v>0.41019058227539062</c:v>
                </c:pt>
                <c:pt idx="3">
                  <c:v>4.6073242187500002E-2</c:v>
                </c:pt>
                <c:pt idx="4">
                  <c:v>0.615234375</c:v>
                </c:pt>
                <c:pt idx="5">
                  <c:v>143.19999999999999</c:v>
                </c:pt>
                <c:pt idx="6">
                  <c:v>175.490234375</c:v>
                </c:pt>
                <c:pt idx="7">
                  <c:v>183.447265625</c:v>
                </c:pt>
                <c:pt idx="8">
                  <c:v>197.0810546875</c:v>
                </c:pt>
                <c:pt idx="9">
                  <c:v>202.5</c:v>
                </c:pt>
                <c:pt idx="10">
                  <c:v>203.05</c:v>
                </c:pt>
                <c:pt idx="11">
                  <c:v>260.52</c:v>
                </c:pt>
                <c:pt idx="12">
                  <c:v>418.81</c:v>
                </c:pt>
                <c:pt idx="13">
                  <c:v>665.50272460937504</c:v>
                </c:pt>
                <c:pt idx="14">
                  <c:v>1102.298369140625</c:v>
                </c:pt>
                <c:pt idx="15">
                  <c:v>518.50370060794432</c:v>
                </c:pt>
                <c:pt idx="16">
                  <c:v>630.78865234374996</c:v>
                </c:pt>
                <c:pt idx="17">
                  <c:v>798.90957031250002</c:v>
                </c:pt>
              </c:numCache>
            </c:numRef>
          </c:val>
          <c:extLst>
            <c:ext xmlns:c16="http://schemas.microsoft.com/office/drawing/2014/chart" uri="{C3380CC4-5D6E-409C-BE32-E72D297353CC}">
              <c16:uniqueId val="{00000000-3610-DD48-95CF-6C36E1127607}"/>
            </c:ext>
          </c:extLst>
        </c:ser>
        <c:dLbls>
          <c:showLegendKey val="0"/>
          <c:showVal val="0"/>
          <c:showCatName val="0"/>
          <c:showSerName val="0"/>
          <c:showPercent val="0"/>
          <c:showBubbleSize val="0"/>
        </c:dLbls>
        <c:gapWidth val="150"/>
        <c:axId val="415378752"/>
        <c:axId val="415383648"/>
      </c:barChart>
      <c:catAx>
        <c:axId val="415378752"/>
        <c:scaling>
          <c:orientation val="minMax"/>
        </c:scaling>
        <c:delete val="0"/>
        <c:axPos val="b"/>
        <c:title>
          <c:tx>
            <c:rich>
              <a:bodyPr/>
              <a:lstStyle/>
              <a:p>
                <a:pPr>
                  <a:defRPr sz="1200"/>
                </a:pPr>
                <a:r>
                  <a:rPr lang="en-US" sz="1200"/>
                  <a:t>Fiscal Year</a:t>
                </a:r>
              </a:p>
            </c:rich>
          </c:tx>
          <c:layout>
            <c:manualLayout>
              <c:xMode val="edge"/>
              <c:yMode val="edge"/>
              <c:x val="0.49999567596515698"/>
              <c:y val="0.91411120752953801"/>
            </c:manualLayout>
          </c:layout>
          <c:overlay val="0"/>
        </c:title>
        <c:numFmt formatCode="General" sourceLinked="0"/>
        <c:majorTickMark val="out"/>
        <c:minorTickMark val="none"/>
        <c:tickLblPos val="nextTo"/>
        <c:txPr>
          <a:bodyPr/>
          <a:lstStyle/>
          <a:p>
            <a:pPr>
              <a:defRPr sz="1200" b="0" baseline="0">
                <a:latin typeface="+mn-lt"/>
                <a:cs typeface="Arial" panose="020B0604020202020204" pitchFamily="34" charset="0"/>
              </a:defRPr>
            </a:pPr>
            <a:endParaRPr lang="en-US"/>
          </a:p>
        </c:txPr>
        <c:crossAx val="415383648"/>
        <c:crosses val="autoZero"/>
        <c:auto val="1"/>
        <c:lblAlgn val="ctr"/>
        <c:lblOffset val="100"/>
        <c:noMultiLvlLbl val="0"/>
      </c:catAx>
      <c:valAx>
        <c:axId val="415383648"/>
        <c:scaling>
          <c:orientation val="minMax"/>
        </c:scaling>
        <c:delete val="0"/>
        <c:axPos val="l"/>
        <c:majorGridlines/>
        <c:title>
          <c:tx>
            <c:rich>
              <a:bodyPr/>
              <a:lstStyle/>
              <a:p>
                <a:pPr>
                  <a:defRPr sz="1200"/>
                </a:pPr>
                <a:r>
                  <a:rPr lang="en-US" sz="1200"/>
                  <a:t>Volume (TB)</a:t>
                </a:r>
              </a:p>
            </c:rich>
          </c:tx>
          <c:layout>
            <c:manualLayout>
              <c:xMode val="edge"/>
              <c:yMode val="edge"/>
              <c:x val="1.62849872773537E-2"/>
              <c:y val="0.34790157257870402"/>
            </c:manualLayout>
          </c:layout>
          <c:overlay val="0"/>
        </c:title>
        <c:numFmt formatCode="#,##0" sourceLinked="0"/>
        <c:majorTickMark val="out"/>
        <c:minorTickMark val="none"/>
        <c:tickLblPos val="nextTo"/>
        <c:spPr>
          <a:ln>
            <a:solidFill>
              <a:schemeClr val="bg1">
                <a:lumMod val="50000"/>
              </a:schemeClr>
            </a:solidFill>
          </a:ln>
        </c:spPr>
        <c:txPr>
          <a:bodyPr/>
          <a:lstStyle/>
          <a:p>
            <a:pPr>
              <a:defRPr sz="1200">
                <a:latin typeface="+mn-lt"/>
                <a:cs typeface="Arial" panose="020B0604020202020204" pitchFamily="34" charset="0"/>
              </a:defRPr>
            </a:pPr>
            <a:endParaRPr lang="en-US"/>
          </a:p>
        </c:txPr>
        <c:crossAx val="415378752"/>
        <c:crosses val="autoZero"/>
        <c:crossBetween val="between"/>
      </c:valAx>
      <c:spPr>
        <a:ln>
          <a:solidFill>
            <a:schemeClr val="bg1">
              <a:lumMod val="50000"/>
            </a:schemeClr>
          </a:solidFill>
          <a:prstDash val="solid"/>
        </a:ln>
      </c:spPr>
    </c:plotArea>
    <c:plotVisOnly val="1"/>
    <c:dispBlanksAs val="gap"/>
    <c:showDLblsOverMax val="0"/>
  </c:chart>
  <c:printSettings>
    <c:headerFooter/>
    <c:pageMargins b="0.750000000000004" l="0.70000000000000095" r="0.70000000000000095" t="0.750000000000004"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898289544528147"/>
          <c:y val="0.14901950216041901"/>
          <c:w val="0.85018021090100049"/>
          <c:h val="0.68891197860574704"/>
        </c:manualLayout>
      </c:layout>
      <c:lineChart>
        <c:grouping val="standard"/>
        <c:varyColors val="0"/>
        <c:ser>
          <c:idx val="0"/>
          <c:order val="0"/>
          <c:tx>
            <c:strRef>
              <c:f>data!$L$176</c:f>
              <c:strCache>
                <c:ptCount val="1"/>
                <c:pt idx="0">
                  <c:v>ORNL</c:v>
                </c:pt>
              </c:strCache>
            </c:strRef>
          </c:tx>
          <c:marker>
            <c:symbol val="none"/>
          </c:marker>
          <c:cat>
            <c:strRef>
              <c:f>data!$A$177:$A$191</c:f>
              <c:strCache>
                <c:ptCount val="15"/>
                <c:pt idx="0">
                  <c:v>FY08</c:v>
                </c:pt>
                <c:pt idx="1">
                  <c:v>FY09</c:v>
                </c:pt>
                <c:pt idx="2">
                  <c:v>FY10</c:v>
                </c:pt>
                <c:pt idx="3">
                  <c:v>FY11</c:v>
                </c:pt>
                <c:pt idx="4">
                  <c:v>FY12</c:v>
                </c:pt>
                <c:pt idx="5">
                  <c:v>FY13</c:v>
                </c:pt>
                <c:pt idx="6">
                  <c:v>FY14</c:v>
                </c:pt>
                <c:pt idx="7">
                  <c:v>FY15</c:v>
                </c:pt>
                <c:pt idx="8">
                  <c:v>FY16</c:v>
                </c:pt>
                <c:pt idx="9">
                  <c:v>FY17</c:v>
                </c:pt>
                <c:pt idx="10">
                  <c:v>FY18</c:v>
                </c:pt>
                <c:pt idx="11">
                  <c:v>FY19</c:v>
                </c:pt>
                <c:pt idx="12">
                  <c:v>FY20</c:v>
                </c:pt>
                <c:pt idx="13">
                  <c:v>FY21</c:v>
                </c:pt>
                <c:pt idx="14">
                  <c:v>FY22</c:v>
                </c:pt>
              </c:strCache>
            </c:strRef>
          </c:cat>
          <c:val>
            <c:numRef>
              <c:f>data!$L$177:$L$191</c:f>
              <c:numCache>
                <c:formatCode>0.0%</c:formatCode>
                <c:ptCount val="15"/>
                <c:pt idx="0">
                  <c:v>0.20388598818796541</c:v>
                </c:pt>
                <c:pt idx="1">
                  <c:v>0.23837126091312438</c:v>
                </c:pt>
                <c:pt idx="2">
                  <c:v>0.31703153988868277</c:v>
                </c:pt>
                <c:pt idx="3">
                  <c:v>0.38507605701281589</c:v>
                </c:pt>
                <c:pt idx="4">
                  <c:v>0.35461946373889014</c:v>
                </c:pt>
                <c:pt idx="5">
                  <c:v>0.38641611593279718</c:v>
                </c:pt>
                <c:pt idx="6">
                  <c:v>0.38235742604452577</c:v>
                </c:pt>
                <c:pt idx="7">
                  <c:v>0.3804569942411295</c:v>
                </c:pt>
                <c:pt idx="8">
                  <c:v>0.24058648533786656</c:v>
                </c:pt>
                <c:pt idx="9">
                  <c:v>0.23174839767476524</c:v>
                </c:pt>
                <c:pt idx="10">
                  <c:v>0.20900817074234537</c:v>
                </c:pt>
                <c:pt idx="11">
                  <c:v>0.20213306246825799</c:v>
                </c:pt>
              </c:numCache>
            </c:numRef>
          </c:val>
          <c:smooth val="0"/>
          <c:extLst>
            <c:ext xmlns:c16="http://schemas.microsoft.com/office/drawing/2014/chart" uri="{C3380CC4-5D6E-409C-BE32-E72D297353CC}">
              <c16:uniqueId val="{00000000-0D91-ED4F-9661-883000CC5ED9}"/>
            </c:ext>
          </c:extLst>
        </c:ser>
        <c:dLbls>
          <c:showLegendKey val="0"/>
          <c:showVal val="0"/>
          <c:showCatName val="0"/>
          <c:showSerName val="0"/>
          <c:showPercent val="0"/>
          <c:showBubbleSize val="0"/>
        </c:dLbls>
        <c:smooth val="0"/>
        <c:axId val="415385824"/>
        <c:axId val="415381472"/>
      </c:lineChart>
      <c:catAx>
        <c:axId val="415385824"/>
        <c:scaling>
          <c:orientation val="minMax"/>
        </c:scaling>
        <c:delete val="0"/>
        <c:axPos val="b"/>
        <c:title>
          <c:tx>
            <c:rich>
              <a:bodyPr/>
              <a:lstStyle/>
              <a:p>
                <a:pPr>
                  <a:defRPr sz="1200"/>
                </a:pPr>
                <a:r>
                  <a:rPr lang="en-US" sz="1200"/>
                  <a:t>Fiscal Year</a:t>
                </a:r>
              </a:p>
            </c:rich>
          </c:tx>
          <c:layout>
            <c:manualLayout>
              <c:xMode val="edge"/>
              <c:yMode val="edge"/>
              <c:x val="0.48422756091902203"/>
              <c:y val="0.91945592070692705"/>
            </c:manualLayout>
          </c:layout>
          <c:overlay val="0"/>
        </c:title>
        <c:numFmt formatCode="General" sourceLinked="0"/>
        <c:majorTickMark val="out"/>
        <c:minorTickMark val="none"/>
        <c:tickLblPos val="nextTo"/>
        <c:txPr>
          <a:bodyPr/>
          <a:lstStyle/>
          <a:p>
            <a:pPr>
              <a:defRPr sz="1200" b="0" baseline="0">
                <a:latin typeface="+mn-lt"/>
                <a:cs typeface="Arial" panose="020B0604020202020204" pitchFamily="34" charset="0"/>
              </a:defRPr>
            </a:pPr>
            <a:endParaRPr lang="en-US"/>
          </a:p>
        </c:txPr>
        <c:crossAx val="415381472"/>
        <c:crosses val="autoZero"/>
        <c:auto val="1"/>
        <c:lblAlgn val="ctr"/>
        <c:lblOffset val="100"/>
        <c:noMultiLvlLbl val="0"/>
      </c:catAx>
      <c:valAx>
        <c:axId val="415381472"/>
        <c:scaling>
          <c:orientation val="minMax"/>
        </c:scaling>
        <c:delete val="0"/>
        <c:axPos val="l"/>
        <c:majorGridlines/>
        <c:title>
          <c:tx>
            <c:rich>
              <a:bodyPr/>
              <a:lstStyle/>
              <a:p>
                <a:pPr>
                  <a:defRPr sz="1200"/>
                </a:pPr>
                <a:r>
                  <a:rPr lang="en-US" sz="1200"/>
                  <a:t>Percentage</a:t>
                </a:r>
              </a:p>
            </c:rich>
          </c:tx>
          <c:layout>
            <c:manualLayout>
              <c:xMode val="edge"/>
              <c:yMode val="edge"/>
              <c:x val="4.8473441747445998E-3"/>
              <c:y val="0.36539536980201598"/>
            </c:manualLayout>
          </c:layout>
          <c:overlay val="0"/>
        </c:title>
        <c:numFmt formatCode="0%" sourceLinked="0"/>
        <c:majorTickMark val="out"/>
        <c:minorTickMark val="none"/>
        <c:tickLblPos val="nextTo"/>
        <c:txPr>
          <a:bodyPr/>
          <a:lstStyle/>
          <a:p>
            <a:pPr>
              <a:defRPr sz="1200">
                <a:solidFill>
                  <a:sysClr val="windowText" lastClr="000000"/>
                </a:solidFill>
                <a:latin typeface="+mn-lt"/>
                <a:cs typeface="Arial" panose="020B0604020202020204" pitchFamily="34" charset="0"/>
              </a:defRPr>
            </a:pPr>
            <a:endParaRPr lang="en-US"/>
          </a:p>
        </c:txPr>
        <c:crossAx val="415385824"/>
        <c:crosses val="autoZero"/>
        <c:crossBetween val="between"/>
      </c:valAx>
      <c:spPr>
        <a:ln>
          <a:solidFill>
            <a:schemeClr val="bg1">
              <a:lumMod val="50000"/>
            </a:schemeClr>
          </a:solidFill>
          <a:prstDash val="solid"/>
        </a:ln>
      </c:spPr>
    </c:plotArea>
    <c:plotVisOnly val="1"/>
    <c:dispBlanksAs val="gap"/>
    <c:showDLblsOverMax val="0"/>
  </c:chart>
  <c:printSettings>
    <c:headerFooter/>
    <c:pageMargins b="0.750000000000004" l="0.70000000000000095" r="0.70000000000000095" t="0.750000000000004" header="0.3" footer="0.3"/>
    <c:pageSetup/>
  </c:printSettings>
  <c:userShapes r:id="rId1"/>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a:latin typeface="+mn-lt"/>
                <a:cs typeface="Arial" panose="020B0604020202020204" pitchFamily="34" charset="0"/>
              </a:defRPr>
            </a:pPr>
            <a:r>
              <a:rPr lang="en-US"/>
              <a:t>ORNL Multi-Year Product Distribution Trend</a:t>
            </a:r>
          </a:p>
        </c:rich>
      </c:tx>
      <c:layout>
        <c:manualLayout>
          <c:xMode val="edge"/>
          <c:yMode val="edge"/>
          <c:x val="0.24084493041413399"/>
          <c:y val="4.2874073532554298E-2"/>
        </c:manualLayout>
      </c:layout>
      <c:overlay val="0"/>
    </c:title>
    <c:autoTitleDeleted val="0"/>
    <c:plotArea>
      <c:layout>
        <c:manualLayout>
          <c:layoutTarget val="inner"/>
          <c:xMode val="edge"/>
          <c:yMode val="edge"/>
          <c:x val="0.113107657173634"/>
          <c:y val="0.18225294239347301"/>
          <c:w val="0.85726272307204099"/>
          <c:h val="0.65529307668611403"/>
        </c:manualLayout>
      </c:layout>
      <c:barChart>
        <c:barDir val="col"/>
        <c:grouping val="clustered"/>
        <c:varyColors val="0"/>
        <c:ser>
          <c:idx val="0"/>
          <c:order val="0"/>
          <c:tx>
            <c:strRef>
              <c:f>Summary_data!$N$21</c:f>
              <c:strCache>
                <c:ptCount val="1"/>
                <c:pt idx="0">
                  <c:v>ORNL</c:v>
                </c:pt>
              </c:strCache>
            </c:strRef>
          </c:tx>
          <c:invertIfNegative val="0"/>
          <c:cat>
            <c:strRef>
              <c:f>Summary_data!$C$22:$C$40</c:f>
              <c:strCache>
                <c:ptCount val="19"/>
                <c:pt idx="0">
                  <c:v>FY07</c:v>
                </c:pt>
                <c:pt idx="1">
                  <c:v>FY08</c:v>
                </c:pt>
                <c:pt idx="2">
                  <c:v>FY09</c:v>
                </c:pt>
                <c:pt idx="3">
                  <c:v>FY10</c:v>
                </c:pt>
                <c:pt idx="4">
                  <c:v>FY11</c:v>
                </c:pt>
                <c:pt idx="5">
                  <c:v>FY12</c:v>
                </c:pt>
                <c:pt idx="6">
                  <c:v>FY13</c:v>
                </c:pt>
                <c:pt idx="7">
                  <c:v>FY14</c:v>
                </c:pt>
                <c:pt idx="8">
                  <c:v>FY15</c:v>
                </c:pt>
                <c:pt idx="9">
                  <c:v>FY16</c:v>
                </c:pt>
                <c:pt idx="10">
                  <c:v>FY17</c:v>
                </c:pt>
                <c:pt idx="11">
                  <c:v>FY18</c:v>
                </c:pt>
                <c:pt idx="12">
                  <c:v>FY19</c:v>
                </c:pt>
                <c:pt idx="13">
                  <c:v>FY20</c:v>
                </c:pt>
                <c:pt idx="14">
                  <c:v>FY21</c:v>
                </c:pt>
                <c:pt idx="15">
                  <c:v>FY22</c:v>
                </c:pt>
                <c:pt idx="16">
                  <c:v>FY23</c:v>
                </c:pt>
                <c:pt idx="17">
                  <c:v>FY24</c:v>
                </c:pt>
                <c:pt idx="18">
                  <c:v>FY25</c:v>
                </c:pt>
              </c:strCache>
            </c:strRef>
          </c:cat>
          <c:val>
            <c:numRef>
              <c:f>Summary_data!$N$22:$N$40</c:f>
              <c:numCache>
                <c:formatCode>_(* #,##0.0_);_(* \(#,##0.0\);_(* "-"??_);_(@_)</c:formatCode>
                <c:ptCount val="19"/>
                <c:pt idx="0">
                  <c:v>0</c:v>
                </c:pt>
                <c:pt idx="1">
                  <c:v>0.39932299999999998</c:v>
                </c:pt>
                <c:pt idx="2">
                  <c:v>7.6994199999999999</c:v>
                </c:pt>
                <c:pt idx="3">
                  <c:v>49.882874999999999</c:v>
                </c:pt>
                <c:pt idx="4">
                  <c:v>3.194725</c:v>
                </c:pt>
                <c:pt idx="5">
                  <c:v>6.7061929999999998</c:v>
                </c:pt>
                <c:pt idx="6">
                  <c:v>5.756697</c:v>
                </c:pt>
                <c:pt idx="7">
                  <c:v>13.607626</c:v>
                </c:pt>
                <c:pt idx="8">
                  <c:v>13.084823</c:v>
                </c:pt>
                <c:pt idx="9">
                  <c:v>31.550469</c:v>
                </c:pt>
                <c:pt idx="10">
                  <c:v>26.890238</c:v>
                </c:pt>
                <c:pt idx="11">
                  <c:v>34.901304000000003</c:v>
                </c:pt>
                <c:pt idx="12">
                  <c:v>52.227103999999997</c:v>
                </c:pt>
                <c:pt idx="13">
                  <c:v>31.767076999999997</c:v>
                </c:pt>
                <c:pt idx="14">
                  <c:v>68.714117999999999</c:v>
                </c:pt>
                <c:pt idx="15">
                  <c:v>102.537036</c:v>
                </c:pt>
                <c:pt idx="16">
                  <c:v>73.071164999999993</c:v>
                </c:pt>
                <c:pt idx="17">
                  <c:v>132.41475399999999</c:v>
                </c:pt>
                <c:pt idx="18">
                  <c:v>192.542092</c:v>
                </c:pt>
              </c:numCache>
            </c:numRef>
          </c:val>
          <c:extLst>
            <c:ext xmlns:c16="http://schemas.microsoft.com/office/drawing/2014/chart" uri="{C3380CC4-5D6E-409C-BE32-E72D297353CC}">
              <c16:uniqueId val="{00000000-0819-BD48-BC74-A1AACCFB6D77}"/>
            </c:ext>
          </c:extLst>
        </c:ser>
        <c:dLbls>
          <c:showLegendKey val="0"/>
          <c:showVal val="0"/>
          <c:showCatName val="0"/>
          <c:showSerName val="0"/>
          <c:showPercent val="0"/>
          <c:showBubbleSize val="0"/>
        </c:dLbls>
        <c:gapWidth val="150"/>
        <c:axId val="415376032"/>
        <c:axId val="415383104"/>
      </c:barChart>
      <c:catAx>
        <c:axId val="415376032"/>
        <c:scaling>
          <c:orientation val="minMax"/>
        </c:scaling>
        <c:delete val="0"/>
        <c:axPos val="b"/>
        <c:title>
          <c:tx>
            <c:rich>
              <a:bodyPr/>
              <a:lstStyle/>
              <a:p>
                <a:pPr>
                  <a:defRPr sz="1200"/>
                </a:pPr>
                <a:r>
                  <a:rPr lang="en-US" sz="1200"/>
                  <a:t>Fiscal Year</a:t>
                </a:r>
              </a:p>
            </c:rich>
          </c:tx>
          <c:layout>
            <c:manualLayout>
              <c:xMode val="edge"/>
              <c:yMode val="edge"/>
              <c:x val="0.51269424232162897"/>
              <c:y val="0.91856945601153805"/>
            </c:manualLayout>
          </c:layout>
          <c:overlay val="0"/>
        </c:title>
        <c:numFmt formatCode="General" sourceLinked="0"/>
        <c:majorTickMark val="out"/>
        <c:minorTickMark val="none"/>
        <c:tickLblPos val="nextTo"/>
        <c:txPr>
          <a:bodyPr/>
          <a:lstStyle/>
          <a:p>
            <a:pPr>
              <a:defRPr sz="1200" b="0" baseline="0">
                <a:latin typeface="+mn-lt"/>
                <a:cs typeface="Arial" panose="020B0604020202020204" pitchFamily="34" charset="0"/>
              </a:defRPr>
            </a:pPr>
            <a:endParaRPr lang="en-US"/>
          </a:p>
        </c:txPr>
        <c:crossAx val="415383104"/>
        <c:crosses val="autoZero"/>
        <c:auto val="1"/>
        <c:lblAlgn val="ctr"/>
        <c:lblOffset val="100"/>
        <c:noMultiLvlLbl val="0"/>
      </c:catAx>
      <c:valAx>
        <c:axId val="415383104"/>
        <c:scaling>
          <c:orientation val="minMax"/>
        </c:scaling>
        <c:delete val="0"/>
        <c:axPos val="l"/>
        <c:majorGridlines/>
        <c:title>
          <c:tx>
            <c:rich>
              <a:bodyPr/>
              <a:lstStyle/>
              <a:p>
                <a:pPr>
                  <a:defRPr sz="1200"/>
                </a:pPr>
                <a:r>
                  <a:rPr lang="en-US" sz="1200"/>
                  <a:t>Product Distributed (Millions)</a:t>
                </a:r>
              </a:p>
            </c:rich>
          </c:tx>
          <c:layout>
            <c:manualLayout>
              <c:xMode val="edge"/>
              <c:yMode val="edge"/>
              <c:x val="1.6285028493567399E-2"/>
              <c:y val="0.17328868888728299"/>
            </c:manualLayout>
          </c:layout>
          <c:overlay val="0"/>
        </c:title>
        <c:numFmt formatCode="#,##0" sourceLinked="0"/>
        <c:majorTickMark val="out"/>
        <c:minorTickMark val="none"/>
        <c:tickLblPos val="nextTo"/>
        <c:spPr>
          <a:ln>
            <a:solidFill>
              <a:schemeClr val="bg1">
                <a:lumMod val="50000"/>
              </a:schemeClr>
            </a:solidFill>
          </a:ln>
        </c:spPr>
        <c:txPr>
          <a:bodyPr/>
          <a:lstStyle/>
          <a:p>
            <a:pPr>
              <a:defRPr sz="1200">
                <a:latin typeface="+mn-lt"/>
                <a:cs typeface="Arial" panose="020B0604020202020204" pitchFamily="34" charset="0"/>
              </a:defRPr>
            </a:pPr>
            <a:endParaRPr lang="en-US"/>
          </a:p>
        </c:txPr>
        <c:crossAx val="415376032"/>
        <c:crosses val="autoZero"/>
        <c:crossBetween val="between"/>
      </c:valAx>
      <c:spPr>
        <a:ln>
          <a:solidFill>
            <a:schemeClr val="bg1">
              <a:lumMod val="50000"/>
            </a:schemeClr>
          </a:solidFill>
          <a:prstDash val="solid"/>
        </a:ln>
      </c:spPr>
    </c:plotArea>
    <c:plotVisOnly val="1"/>
    <c:dispBlanksAs val="gap"/>
    <c:showDLblsOverMax val="0"/>
  </c:chart>
  <c:printSettings>
    <c:headerFooter/>
    <c:pageMargins b="0.750000000000004" l="0.70000000000000095" r="0.70000000000000095" t="0.750000000000004"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64617039265194"/>
          <c:y val="0.143607581541664"/>
          <c:w val="0.798349496295651"/>
          <c:h val="0.70576857582792596"/>
        </c:manualLayout>
      </c:layout>
      <c:barChart>
        <c:barDir val="col"/>
        <c:grouping val="clustered"/>
        <c:varyColors val="0"/>
        <c:ser>
          <c:idx val="0"/>
          <c:order val="0"/>
          <c:tx>
            <c:strRef>
              <c:f>data!$AF$283</c:f>
              <c:strCache>
                <c:ptCount val="1"/>
                <c:pt idx="0">
                  <c:v>VISITS</c:v>
                </c:pt>
              </c:strCache>
            </c:strRef>
          </c:tx>
          <c:invertIfNegative val="0"/>
          <c:cat>
            <c:strRef>
              <c:f>data!$A$284:$A$302</c:f>
              <c:strCache>
                <c:ptCount val="19"/>
                <c:pt idx="0">
                  <c:v>FY07</c:v>
                </c:pt>
                <c:pt idx="1">
                  <c:v>FY08</c:v>
                </c:pt>
                <c:pt idx="2">
                  <c:v>FY09</c:v>
                </c:pt>
                <c:pt idx="3">
                  <c:v>FY10</c:v>
                </c:pt>
                <c:pt idx="4">
                  <c:v>FY11</c:v>
                </c:pt>
                <c:pt idx="5">
                  <c:v>FY12</c:v>
                </c:pt>
                <c:pt idx="6">
                  <c:v>FY13</c:v>
                </c:pt>
                <c:pt idx="7">
                  <c:v>FY14</c:v>
                </c:pt>
                <c:pt idx="8">
                  <c:v>FY15</c:v>
                </c:pt>
                <c:pt idx="9">
                  <c:v>FY16</c:v>
                </c:pt>
                <c:pt idx="10">
                  <c:v>FY17</c:v>
                </c:pt>
                <c:pt idx="11">
                  <c:v>FY18</c:v>
                </c:pt>
                <c:pt idx="12">
                  <c:v>FY19</c:v>
                </c:pt>
                <c:pt idx="13">
                  <c:v>FY20</c:v>
                </c:pt>
                <c:pt idx="14">
                  <c:v>FY21</c:v>
                </c:pt>
                <c:pt idx="15">
                  <c:v>FY22</c:v>
                </c:pt>
                <c:pt idx="16">
                  <c:v>FY23</c:v>
                </c:pt>
                <c:pt idx="17">
                  <c:v>FY24</c:v>
                </c:pt>
                <c:pt idx="18">
                  <c:v>FY25</c:v>
                </c:pt>
              </c:strCache>
            </c:strRef>
          </c:cat>
          <c:val>
            <c:numRef>
              <c:f>data!$AF$284:$AF$302</c:f>
              <c:numCache>
                <c:formatCode>_(* #,##0_);_(* \(#,##0\);_(* "-"??_);_(@_)</c:formatCode>
                <c:ptCount val="19"/>
                <c:pt idx="0">
                  <c:v>11242</c:v>
                </c:pt>
                <c:pt idx="1">
                  <c:v>16433</c:v>
                </c:pt>
                <c:pt idx="2">
                  <c:v>19070</c:v>
                </c:pt>
                <c:pt idx="3">
                  <c:v>18437</c:v>
                </c:pt>
                <c:pt idx="4">
                  <c:v>11300</c:v>
                </c:pt>
                <c:pt idx="5">
                  <c:v>18181</c:v>
                </c:pt>
                <c:pt idx="6">
                  <c:v>17118</c:v>
                </c:pt>
                <c:pt idx="7">
                  <c:v>18982</c:v>
                </c:pt>
                <c:pt idx="8">
                  <c:v>14071</c:v>
                </c:pt>
                <c:pt idx="9">
                  <c:v>31846</c:v>
                </c:pt>
                <c:pt idx="10">
                  <c:v>46518</c:v>
                </c:pt>
                <c:pt idx="11">
                  <c:v>46775</c:v>
                </c:pt>
                <c:pt idx="12">
                  <c:v>61588</c:v>
                </c:pt>
                <c:pt idx="13">
                  <c:v>69470</c:v>
                </c:pt>
                <c:pt idx="14">
                  <c:v>68344</c:v>
                </c:pt>
                <c:pt idx="15">
                  <c:v>69775</c:v>
                </c:pt>
                <c:pt idx="16">
                  <c:v>68280</c:v>
                </c:pt>
                <c:pt idx="17">
                  <c:v>64362</c:v>
                </c:pt>
                <c:pt idx="18">
                  <c:v>230752</c:v>
                </c:pt>
              </c:numCache>
            </c:numRef>
          </c:val>
          <c:extLst>
            <c:ext xmlns:c16="http://schemas.microsoft.com/office/drawing/2014/chart" uri="{C3380CC4-5D6E-409C-BE32-E72D297353CC}">
              <c16:uniqueId val="{00000000-DA3A-624B-98E0-29B07DE08B7E}"/>
            </c:ext>
          </c:extLst>
        </c:ser>
        <c:ser>
          <c:idx val="1"/>
          <c:order val="1"/>
          <c:tx>
            <c:strRef>
              <c:f>data!$AG$283</c:f>
              <c:strCache>
                <c:ptCount val="1"/>
                <c:pt idx="0">
                  <c:v>VIEWS</c:v>
                </c:pt>
              </c:strCache>
            </c:strRef>
          </c:tx>
          <c:invertIfNegative val="0"/>
          <c:cat>
            <c:strRef>
              <c:f>data!$A$284:$A$302</c:f>
              <c:strCache>
                <c:ptCount val="19"/>
                <c:pt idx="0">
                  <c:v>FY07</c:v>
                </c:pt>
                <c:pt idx="1">
                  <c:v>FY08</c:v>
                </c:pt>
                <c:pt idx="2">
                  <c:v>FY09</c:v>
                </c:pt>
                <c:pt idx="3">
                  <c:v>FY10</c:v>
                </c:pt>
                <c:pt idx="4">
                  <c:v>FY11</c:v>
                </c:pt>
                <c:pt idx="5">
                  <c:v>FY12</c:v>
                </c:pt>
                <c:pt idx="6">
                  <c:v>FY13</c:v>
                </c:pt>
                <c:pt idx="7">
                  <c:v>FY14</c:v>
                </c:pt>
                <c:pt idx="8">
                  <c:v>FY15</c:v>
                </c:pt>
                <c:pt idx="9">
                  <c:v>FY16</c:v>
                </c:pt>
                <c:pt idx="10">
                  <c:v>FY17</c:v>
                </c:pt>
                <c:pt idx="11">
                  <c:v>FY18</c:v>
                </c:pt>
                <c:pt idx="12">
                  <c:v>FY19</c:v>
                </c:pt>
                <c:pt idx="13">
                  <c:v>FY20</c:v>
                </c:pt>
                <c:pt idx="14">
                  <c:v>FY21</c:v>
                </c:pt>
                <c:pt idx="15">
                  <c:v>FY22</c:v>
                </c:pt>
                <c:pt idx="16">
                  <c:v>FY23</c:v>
                </c:pt>
                <c:pt idx="17">
                  <c:v>FY24</c:v>
                </c:pt>
                <c:pt idx="18">
                  <c:v>FY25</c:v>
                </c:pt>
              </c:strCache>
            </c:strRef>
          </c:cat>
          <c:val>
            <c:numRef>
              <c:f>data!$AG$284:$AG$302</c:f>
              <c:numCache>
                <c:formatCode>_(* #,##0_);_(* \(#,##0\);_(* "-"??_);_(@_)</c:formatCode>
                <c:ptCount val="19"/>
                <c:pt idx="0">
                  <c:v>117277</c:v>
                </c:pt>
                <c:pt idx="1">
                  <c:v>152974</c:v>
                </c:pt>
                <c:pt idx="2">
                  <c:v>161490</c:v>
                </c:pt>
                <c:pt idx="3">
                  <c:v>152661</c:v>
                </c:pt>
                <c:pt idx="4">
                  <c:v>165812</c:v>
                </c:pt>
                <c:pt idx="5">
                  <c:v>103414</c:v>
                </c:pt>
                <c:pt idx="6">
                  <c:v>89676</c:v>
                </c:pt>
                <c:pt idx="7">
                  <c:v>113142</c:v>
                </c:pt>
                <c:pt idx="8">
                  <c:v>97324</c:v>
                </c:pt>
                <c:pt idx="9">
                  <c:v>275875</c:v>
                </c:pt>
                <c:pt idx="10">
                  <c:v>454588</c:v>
                </c:pt>
                <c:pt idx="11">
                  <c:v>637712</c:v>
                </c:pt>
                <c:pt idx="12">
                  <c:v>689021</c:v>
                </c:pt>
                <c:pt idx="13">
                  <c:v>614180</c:v>
                </c:pt>
                <c:pt idx="14">
                  <c:v>460733</c:v>
                </c:pt>
                <c:pt idx="15">
                  <c:v>424965</c:v>
                </c:pt>
                <c:pt idx="16">
                  <c:v>241781</c:v>
                </c:pt>
                <c:pt idx="17">
                  <c:v>174951</c:v>
                </c:pt>
                <c:pt idx="18">
                  <c:v>411706</c:v>
                </c:pt>
              </c:numCache>
            </c:numRef>
          </c:val>
          <c:extLst>
            <c:ext xmlns:c16="http://schemas.microsoft.com/office/drawing/2014/chart" uri="{C3380CC4-5D6E-409C-BE32-E72D297353CC}">
              <c16:uniqueId val="{00000003-DA3A-624B-98E0-29B07DE08B7E}"/>
            </c:ext>
          </c:extLst>
        </c:ser>
        <c:ser>
          <c:idx val="2"/>
          <c:order val="2"/>
          <c:tx>
            <c:strRef>
              <c:f>data!$AH$283</c:f>
              <c:strCache>
                <c:ptCount val="1"/>
                <c:pt idx="0">
                  <c:v>VISITORS</c:v>
                </c:pt>
              </c:strCache>
            </c:strRef>
          </c:tx>
          <c:invertIfNegative val="0"/>
          <c:cat>
            <c:strRef>
              <c:f>data!$A$284:$A$302</c:f>
              <c:strCache>
                <c:ptCount val="19"/>
                <c:pt idx="0">
                  <c:v>FY07</c:v>
                </c:pt>
                <c:pt idx="1">
                  <c:v>FY08</c:v>
                </c:pt>
                <c:pt idx="2">
                  <c:v>FY09</c:v>
                </c:pt>
                <c:pt idx="3">
                  <c:v>FY10</c:v>
                </c:pt>
                <c:pt idx="4">
                  <c:v>FY11</c:v>
                </c:pt>
                <c:pt idx="5">
                  <c:v>FY12</c:v>
                </c:pt>
                <c:pt idx="6">
                  <c:v>FY13</c:v>
                </c:pt>
                <c:pt idx="7">
                  <c:v>FY14</c:v>
                </c:pt>
                <c:pt idx="8">
                  <c:v>FY15</c:v>
                </c:pt>
                <c:pt idx="9">
                  <c:v>FY16</c:v>
                </c:pt>
                <c:pt idx="10">
                  <c:v>FY17</c:v>
                </c:pt>
                <c:pt idx="11">
                  <c:v>FY18</c:v>
                </c:pt>
                <c:pt idx="12">
                  <c:v>FY19</c:v>
                </c:pt>
                <c:pt idx="13">
                  <c:v>FY20</c:v>
                </c:pt>
                <c:pt idx="14">
                  <c:v>FY21</c:v>
                </c:pt>
                <c:pt idx="15">
                  <c:v>FY22</c:v>
                </c:pt>
                <c:pt idx="16">
                  <c:v>FY23</c:v>
                </c:pt>
                <c:pt idx="17">
                  <c:v>FY24</c:v>
                </c:pt>
                <c:pt idx="18">
                  <c:v>FY25</c:v>
                </c:pt>
              </c:strCache>
            </c:strRef>
          </c:cat>
          <c:val>
            <c:numRef>
              <c:f>data!$AH$284:$AH$302</c:f>
              <c:numCache>
                <c:formatCode>_(* #,##0_);_(* \(#,##0\);_(* "-"??_);_(@_)</c:formatCode>
                <c:ptCount val="19"/>
                <c:pt idx="0">
                  <c:v>7857</c:v>
                </c:pt>
                <c:pt idx="1">
                  <c:v>11683</c:v>
                </c:pt>
                <c:pt idx="2">
                  <c:v>13974</c:v>
                </c:pt>
                <c:pt idx="3">
                  <c:v>13475</c:v>
                </c:pt>
                <c:pt idx="4">
                  <c:v>8349</c:v>
                </c:pt>
                <c:pt idx="5">
                  <c:v>14448</c:v>
                </c:pt>
                <c:pt idx="6">
                  <c:v>13493</c:v>
                </c:pt>
                <c:pt idx="7">
                  <c:v>14175</c:v>
                </c:pt>
                <c:pt idx="8">
                  <c:v>10766</c:v>
                </c:pt>
                <c:pt idx="9">
                  <c:v>23530</c:v>
                </c:pt>
                <c:pt idx="10">
                  <c:v>33545</c:v>
                </c:pt>
                <c:pt idx="11">
                  <c:v>34391</c:v>
                </c:pt>
                <c:pt idx="12">
                  <c:v>45672</c:v>
                </c:pt>
                <c:pt idx="13">
                  <c:v>58128</c:v>
                </c:pt>
                <c:pt idx="14">
                  <c:v>61243</c:v>
                </c:pt>
                <c:pt idx="15">
                  <c:v>56168</c:v>
                </c:pt>
                <c:pt idx="16">
                  <c:v>60843</c:v>
                </c:pt>
                <c:pt idx="17">
                  <c:v>42246</c:v>
                </c:pt>
                <c:pt idx="18">
                  <c:v>111828</c:v>
                </c:pt>
              </c:numCache>
            </c:numRef>
          </c:val>
          <c:extLst>
            <c:ext xmlns:c16="http://schemas.microsoft.com/office/drawing/2014/chart" uri="{C3380CC4-5D6E-409C-BE32-E72D297353CC}">
              <c16:uniqueId val="{00000004-DA3A-624B-98E0-29B07DE08B7E}"/>
            </c:ext>
          </c:extLst>
        </c:ser>
        <c:dLbls>
          <c:showLegendKey val="0"/>
          <c:showVal val="0"/>
          <c:showCatName val="0"/>
          <c:showSerName val="0"/>
          <c:showPercent val="0"/>
          <c:showBubbleSize val="0"/>
        </c:dLbls>
        <c:gapWidth val="219"/>
        <c:overlap val="-27"/>
        <c:axId val="415388544"/>
        <c:axId val="415384192"/>
      </c:barChart>
      <c:catAx>
        <c:axId val="415388544"/>
        <c:scaling>
          <c:orientation val="minMax"/>
        </c:scaling>
        <c:delete val="0"/>
        <c:axPos val="b"/>
        <c:title>
          <c:tx>
            <c:rich>
              <a:bodyPr rot="0" spcFirstLastPara="1" vertOverflow="ellipsis" vert="horz" wrap="square" anchor="ctr" anchorCtr="1"/>
              <a:lstStyle/>
              <a:p>
                <a:pPr>
                  <a:defRPr sz="1200" b="1" i="0" u="none" strike="noStrike" kern="1200" baseline="0">
                    <a:solidFill>
                      <a:sysClr val="windowText" lastClr="000000"/>
                    </a:solidFill>
                    <a:latin typeface="+mn-lt"/>
                    <a:ea typeface="+mn-ea"/>
                    <a:cs typeface="+mn-cs"/>
                  </a:defRPr>
                </a:pPr>
                <a:r>
                  <a:rPr lang="en-US" sz="1200" b="1">
                    <a:solidFill>
                      <a:sysClr val="windowText" lastClr="000000"/>
                    </a:solidFill>
                  </a:rPr>
                  <a:t>Fiscal Year</a:t>
                </a:r>
              </a:p>
            </c:rich>
          </c:tx>
          <c:layout>
            <c:manualLayout>
              <c:xMode val="edge"/>
              <c:yMode val="edge"/>
              <c:x val="0.52015726535887796"/>
              <c:y val="0.92867232948051204"/>
            </c:manualLayout>
          </c:layout>
          <c:overlay val="0"/>
          <c:spPr>
            <a:noFill/>
            <a:ln>
              <a:noFill/>
            </a:ln>
            <a:effectLst/>
          </c:spPr>
        </c:title>
        <c:numFmt formatCode="General" sourceLinked="1"/>
        <c:majorTickMark val="out"/>
        <c:minorTickMark val="none"/>
        <c:tickLblPos val="nextTo"/>
        <c:spPr>
          <a:noFill/>
          <a:ln w="12700" cap="flat" cmpd="sng" algn="ctr">
            <a:solidFill>
              <a:schemeClr val="bg1">
                <a:lumMod val="50000"/>
              </a:schemeClr>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en-US"/>
          </a:p>
        </c:txPr>
        <c:crossAx val="415384192"/>
        <c:crosses val="autoZero"/>
        <c:auto val="1"/>
        <c:lblAlgn val="ctr"/>
        <c:lblOffset val="100"/>
        <c:noMultiLvlLbl val="0"/>
      </c:catAx>
      <c:valAx>
        <c:axId val="415384192"/>
        <c:scaling>
          <c:orientation val="minMax"/>
        </c:scaling>
        <c:delete val="0"/>
        <c:axPos val="l"/>
        <c:majorGridlines>
          <c:spPr>
            <a:ln w="9525" cap="flat" cmpd="sng" algn="ctr">
              <a:solidFill>
                <a:schemeClr val="bg1">
                  <a:lumMod val="50000"/>
                </a:schemeClr>
              </a:solidFill>
              <a:round/>
            </a:ln>
            <a:effectLst/>
          </c:spPr>
        </c:majorGridlines>
        <c:title>
          <c:tx>
            <c:rich>
              <a:bodyPr rot="-5400000" spcFirstLastPara="1" vertOverflow="ellipsis" vert="horz" wrap="square" anchor="ctr" anchorCtr="1"/>
              <a:lstStyle/>
              <a:p>
                <a:pPr>
                  <a:defRPr sz="1200" b="1" i="0" u="none" strike="noStrike" kern="1200" baseline="0">
                    <a:solidFill>
                      <a:sysClr val="windowText" lastClr="000000"/>
                    </a:solidFill>
                    <a:latin typeface="+mn-lt"/>
                    <a:ea typeface="+mn-ea"/>
                    <a:cs typeface="+mn-cs"/>
                  </a:defRPr>
                </a:pPr>
                <a:r>
                  <a:rPr lang="en-US" sz="1200" b="1">
                    <a:solidFill>
                      <a:sysClr val="windowText" lastClr="000000"/>
                    </a:solidFill>
                  </a:rPr>
                  <a:t>Number </a:t>
                </a:r>
              </a:p>
            </c:rich>
          </c:tx>
          <c:layout>
            <c:manualLayout>
              <c:xMode val="edge"/>
              <c:yMode val="edge"/>
              <c:x val="3.3999234192006499E-3"/>
              <c:y val="0.346614823753157"/>
            </c:manualLayout>
          </c:layout>
          <c:overlay val="0"/>
          <c:spPr>
            <a:noFill/>
            <a:ln>
              <a:noFill/>
            </a:ln>
            <a:effectLst/>
          </c:spPr>
        </c:title>
        <c:numFmt formatCode="#,##0" sourceLinked="0"/>
        <c:majorTickMark val="out"/>
        <c:minorTickMark val="none"/>
        <c:tickLblPos val="nextTo"/>
        <c:spPr>
          <a:noFill/>
          <a:ln>
            <a:solidFill>
              <a:schemeClr val="bg1">
                <a:lumMod val="50000"/>
              </a:schemeClr>
            </a:solid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en-US"/>
          </a:p>
        </c:txPr>
        <c:crossAx val="415388544"/>
        <c:crosses val="autoZero"/>
        <c:crossBetween val="between"/>
      </c:valAx>
      <c:spPr>
        <a:noFill/>
        <a:ln>
          <a:solidFill>
            <a:schemeClr val="bg1">
              <a:lumMod val="50000"/>
            </a:schemeClr>
          </a:solidFill>
        </a:ln>
        <a:effectLst/>
      </c:spPr>
    </c:plotArea>
    <c:legend>
      <c:legendPos val="b"/>
      <c:layout>
        <c:manualLayout>
          <c:xMode val="edge"/>
          <c:yMode val="edge"/>
          <c:x val="0.3669786238172002"/>
          <c:y val="0.16377882764654417"/>
          <c:w val="0.32772510614530426"/>
          <c:h val="0.10425529103759629"/>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bg1">
          <a:lumMod val="50000"/>
        </a:schemeClr>
      </a:solidFill>
      <a:round/>
    </a:ln>
    <a:effectLst/>
  </c:spPr>
  <c:txPr>
    <a:bodyPr/>
    <a:lstStyle/>
    <a:p>
      <a:pPr>
        <a:defRPr/>
      </a:pPr>
      <a:endParaRPr lang="en-US"/>
    </a:p>
  </c:txPr>
  <c:printSettings>
    <c:headerFooter/>
    <c:pageMargins b="0.75" l="0.7" r="0.7" t="0.75" header="0.3" footer="0.3"/>
    <c:pageSetup/>
  </c:printSettings>
  <c:userShapes r:id="rId1"/>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a:latin typeface="+mn-lt"/>
                <a:cs typeface="Arial" panose="020B0604020202020204" pitchFamily="34" charset="0"/>
              </a:defRPr>
            </a:pPr>
            <a:r>
              <a:rPr lang="en-US"/>
              <a:t>OB.DAAC</a:t>
            </a:r>
            <a:r>
              <a:rPr lang="en-US" baseline="0"/>
              <a:t> </a:t>
            </a:r>
            <a:r>
              <a:rPr lang="en-US"/>
              <a:t> Multi-Year Total Archive Volume Trend</a:t>
            </a:r>
          </a:p>
        </c:rich>
      </c:tx>
      <c:layout>
        <c:manualLayout>
          <c:xMode val="edge"/>
          <c:yMode val="edge"/>
          <c:x val="0.223544133657093"/>
          <c:y val="3.8412164179890997E-2"/>
        </c:manualLayout>
      </c:layout>
      <c:overlay val="0"/>
    </c:title>
    <c:autoTitleDeleted val="0"/>
    <c:plotArea>
      <c:layout>
        <c:manualLayout>
          <c:layoutTarget val="inner"/>
          <c:xMode val="edge"/>
          <c:yMode val="edge"/>
          <c:x val="0.156188786714438"/>
          <c:y val="0.18228668594254499"/>
          <c:w val="0.80487043883359"/>
          <c:h val="0.65076746334831104"/>
        </c:manualLayout>
      </c:layout>
      <c:barChart>
        <c:barDir val="col"/>
        <c:grouping val="clustered"/>
        <c:varyColors val="0"/>
        <c:ser>
          <c:idx val="8"/>
          <c:order val="0"/>
          <c:tx>
            <c:strRef>
              <c:f>data!$K$156</c:f>
              <c:strCache>
                <c:ptCount val="1"/>
                <c:pt idx="0">
                  <c:v>OB.DAAC</c:v>
                </c:pt>
              </c:strCache>
            </c:strRef>
          </c:tx>
          <c:spPr>
            <a:solidFill>
              <a:schemeClr val="accent2">
                <a:lumMod val="75000"/>
              </a:schemeClr>
            </a:solidFill>
          </c:spPr>
          <c:invertIfNegative val="0"/>
          <c:cat>
            <c:strRef>
              <c:f>data!$A$157:$A$174</c:f>
              <c:strCache>
                <c:ptCount val="18"/>
                <c:pt idx="0">
                  <c:v>FY08</c:v>
                </c:pt>
                <c:pt idx="1">
                  <c:v>FY09</c:v>
                </c:pt>
                <c:pt idx="2">
                  <c:v>FY10</c:v>
                </c:pt>
                <c:pt idx="3">
                  <c:v>FY11</c:v>
                </c:pt>
                <c:pt idx="4">
                  <c:v>FY12</c:v>
                </c:pt>
                <c:pt idx="5">
                  <c:v>FY13</c:v>
                </c:pt>
                <c:pt idx="6">
                  <c:v>FY14</c:v>
                </c:pt>
                <c:pt idx="7">
                  <c:v>FY15</c:v>
                </c:pt>
                <c:pt idx="8">
                  <c:v>FY16</c:v>
                </c:pt>
                <c:pt idx="9">
                  <c:v>FY17</c:v>
                </c:pt>
                <c:pt idx="10">
                  <c:v>FY18</c:v>
                </c:pt>
                <c:pt idx="11">
                  <c:v>FY19</c:v>
                </c:pt>
                <c:pt idx="12">
                  <c:v>FY20</c:v>
                </c:pt>
                <c:pt idx="13">
                  <c:v>FY21</c:v>
                </c:pt>
                <c:pt idx="14">
                  <c:v>FY22</c:v>
                </c:pt>
                <c:pt idx="15">
                  <c:v>FY23</c:v>
                </c:pt>
                <c:pt idx="16">
                  <c:v>FY24</c:v>
                </c:pt>
                <c:pt idx="17">
                  <c:v>FY25</c:v>
                </c:pt>
              </c:strCache>
            </c:strRef>
          </c:cat>
          <c:val>
            <c:numRef>
              <c:f>data!$K$157:$K$174</c:f>
              <c:numCache>
                <c:formatCode>_(* #,##0.00_);_(* \(#,##0.00\);_(* "-"??_);_(@_)</c:formatCode>
                <c:ptCount val="18"/>
                <c:pt idx="9">
                  <c:v>3445.9434108734131</c:v>
                </c:pt>
                <c:pt idx="10">
                  <c:v>4931.5839999999998</c:v>
                </c:pt>
                <c:pt idx="11">
                  <c:v>4577.28</c:v>
                </c:pt>
                <c:pt idx="12">
                  <c:v>3416.1539746093749</c:v>
                </c:pt>
                <c:pt idx="13">
                  <c:v>4200.9305859374999</c:v>
                </c:pt>
                <c:pt idx="14">
                  <c:v>5921.1186425781252</c:v>
                </c:pt>
                <c:pt idx="15">
                  <c:v>7868.2403372348244</c:v>
                </c:pt>
                <c:pt idx="16">
                  <c:v>7809.4357421875002</c:v>
                </c:pt>
                <c:pt idx="17">
                  <c:v>8363.0679296875005</c:v>
                </c:pt>
              </c:numCache>
            </c:numRef>
          </c:val>
          <c:extLst>
            <c:ext xmlns:c16="http://schemas.microsoft.com/office/drawing/2014/chart" uri="{C3380CC4-5D6E-409C-BE32-E72D297353CC}">
              <c16:uniqueId val="{00000000-1B2B-1143-885C-76A3F27E9293}"/>
            </c:ext>
          </c:extLst>
        </c:ser>
        <c:dLbls>
          <c:showLegendKey val="0"/>
          <c:showVal val="0"/>
          <c:showCatName val="0"/>
          <c:showSerName val="0"/>
          <c:showPercent val="0"/>
          <c:showBubbleSize val="0"/>
        </c:dLbls>
        <c:gapWidth val="150"/>
        <c:axId val="415379296"/>
        <c:axId val="415384736"/>
      </c:barChart>
      <c:catAx>
        <c:axId val="415379296"/>
        <c:scaling>
          <c:orientation val="minMax"/>
        </c:scaling>
        <c:delete val="0"/>
        <c:axPos val="b"/>
        <c:title>
          <c:tx>
            <c:rich>
              <a:bodyPr/>
              <a:lstStyle/>
              <a:p>
                <a:pPr>
                  <a:defRPr sz="1200"/>
                </a:pPr>
                <a:r>
                  <a:rPr lang="en-US" sz="1200"/>
                  <a:t>Fiscal Year</a:t>
                </a:r>
              </a:p>
            </c:rich>
          </c:tx>
          <c:layout>
            <c:manualLayout>
              <c:xMode val="edge"/>
              <c:yMode val="edge"/>
              <c:x val="0.49999567596515698"/>
              <c:y val="0.91411120752953801"/>
            </c:manualLayout>
          </c:layout>
          <c:overlay val="0"/>
        </c:title>
        <c:numFmt formatCode="General" sourceLinked="0"/>
        <c:majorTickMark val="out"/>
        <c:minorTickMark val="none"/>
        <c:tickLblPos val="nextTo"/>
        <c:txPr>
          <a:bodyPr/>
          <a:lstStyle/>
          <a:p>
            <a:pPr>
              <a:defRPr sz="1200" b="0" baseline="0">
                <a:latin typeface="+mn-lt"/>
                <a:cs typeface="Arial" panose="020B0604020202020204" pitchFamily="34" charset="0"/>
              </a:defRPr>
            </a:pPr>
            <a:endParaRPr lang="en-US"/>
          </a:p>
        </c:txPr>
        <c:crossAx val="415384736"/>
        <c:crosses val="autoZero"/>
        <c:auto val="1"/>
        <c:lblAlgn val="ctr"/>
        <c:lblOffset val="100"/>
        <c:noMultiLvlLbl val="0"/>
      </c:catAx>
      <c:valAx>
        <c:axId val="415384736"/>
        <c:scaling>
          <c:orientation val="minMax"/>
        </c:scaling>
        <c:delete val="0"/>
        <c:axPos val="l"/>
        <c:majorGridlines/>
        <c:title>
          <c:tx>
            <c:rich>
              <a:bodyPr/>
              <a:lstStyle/>
              <a:p>
                <a:pPr>
                  <a:defRPr sz="1200"/>
                </a:pPr>
                <a:r>
                  <a:rPr lang="en-US" sz="1200"/>
                  <a:t>Volume (TB)</a:t>
                </a:r>
              </a:p>
            </c:rich>
          </c:tx>
          <c:layout>
            <c:manualLayout>
              <c:xMode val="edge"/>
              <c:yMode val="edge"/>
              <c:x val="1.62849872773537E-2"/>
              <c:y val="0.34790157257870402"/>
            </c:manualLayout>
          </c:layout>
          <c:overlay val="0"/>
        </c:title>
        <c:numFmt formatCode="#,##0.0" sourceLinked="0"/>
        <c:majorTickMark val="out"/>
        <c:minorTickMark val="none"/>
        <c:tickLblPos val="nextTo"/>
        <c:spPr>
          <a:ln>
            <a:solidFill>
              <a:schemeClr val="bg1">
                <a:lumMod val="50000"/>
              </a:schemeClr>
            </a:solidFill>
          </a:ln>
        </c:spPr>
        <c:txPr>
          <a:bodyPr/>
          <a:lstStyle/>
          <a:p>
            <a:pPr>
              <a:defRPr sz="1200">
                <a:latin typeface="+mn-lt"/>
                <a:cs typeface="Arial" panose="020B0604020202020204" pitchFamily="34" charset="0"/>
              </a:defRPr>
            </a:pPr>
            <a:endParaRPr lang="en-US"/>
          </a:p>
        </c:txPr>
        <c:crossAx val="415379296"/>
        <c:crosses val="autoZero"/>
        <c:crossBetween val="between"/>
      </c:valAx>
      <c:spPr>
        <a:ln>
          <a:solidFill>
            <a:schemeClr val="bg1">
              <a:lumMod val="50000"/>
            </a:schemeClr>
          </a:solidFill>
          <a:prstDash val="solid"/>
        </a:ln>
      </c:spPr>
    </c:plotArea>
    <c:plotVisOnly val="1"/>
    <c:dispBlanksAs val="gap"/>
    <c:showDLblsOverMax val="0"/>
  </c:chart>
  <c:printSettings>
    <c:headerFooter/>
    <c:pageMargins b="0.750000000000004" l="0.70000000000000095" r="0.70000000000000095" t="0.750000000000004" header="0.3" footer="0.3"/>
    <c:pageSetup/>
  </c:printSettings>
  <c:userShapes r:id="rId1"/>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8982927746641"/>
          <c:y val="0.14901950216041901"/>
          <c:w val="0.85018015139071501"/>
          <c:h val="0.68891197860574704"/>
        </c:manualLayout>
      </c:layout>
      <c:lineChart>
        <c:grouping val="standard"/>
        <c:varyColors val="0"/>
        <c:ser>
          <c:idx val="8"/>
          <c:order val="0"/>
          <c:tx>
            <c:strRef>
              <c:f>data!$K$176</c:f>
              <c:strCache>
                <c:ptCount val="1"/>
                <c:pt idx="0">
                  <c:v>OB.DAAC</c:v>
                </c:pt>
              </c:strCache>
            </c:strRef>
          </c:tx>
          <c:marker>
            <c:symbol val="none"/>
          </c:marker>
          <c:cat>
            <c:strRef>
              <c:f>data!$A$177:$A$191</c:f>
              <c:strCache>
                <c:ptCount val="15"/>
                <c:pt idx="0">
                  <c:v>FY08</c:v>
                </c:pt>
                <c:pt idx="1">
                  <c:v>FY09</c:v>
                </c:pt>
                <c:pt idx="2">
                  <c:v>FY10</c:v>
                </c:pt>
                <c:pt idx="3">
                  <c:v>FY11</c:v>
                </c:pt>
                <c:pt idx="4">
                  <c:v>FY12</c:v>
                </c:pt>
                <c:pt idx="5">
                  <c:v>FY13</c:v>
                </c:pt>
                <c:pt idx="6">
                  <c:v>FY14</c:v>
                </c:pt>
                <c:pt idx="7">
                  <c:v>FY15</c:v>
                </c:pt>
                <c:pt idx="8">
                  <c:v>FY16</c:v>
                </c:pt>
                <c:pt idx="9">
                  <c:v>FY17</c:v>
                </c:pt>
                <c:pt idx="10">
                  <c:v>FY18</c:v>
                </c:pt>
                <c:pt idx="11">
                  <c:v>FY19</c:v>
                </c:pt>
                <c:pt idx="12">
                  <c:v>FY20</c:v>
                </c:pt>
                <c:pt idx="13">
                  <c:v>FY21</c:v>
                </c:pt>
                <c:pt idx="14">
                  <c:v>FY22</c:v>
                </c:pt>
              </c:strCache>
            </c:strRef>
          </c:cat>
          <c:val>
            <c:numRef>
              <c:f>data!$K$177:$K$191</c:f>
              <c:numCache>
                <c:formatCode>0.0%</c:formatCode>
                <c:ptCount val="15"/>
              </c:numCache>
            </c:numRef>
          </c:val>
          <c:smooth val="0"/>
          <c:extLst>
            <c:ext xmlns:c16="http://schemas.microsoft.com/office/drawing/2014/chart" uri="{C3380CC4-5D6E-409C-BE32-E72D297353CC}">
              <c16:uniqueId val="{00000000-CC9E-AF4D-87EE-97DF44714552}"/>
            </c:ext>
          </c:extLst>
        </c:ser>
        <c:dLbls>
          <c:showLegendKey val="0"/>
          <c:showVal val="0"/>
          <c:showCatName val="0"/>
          <c:showSerName val="0"/>
          <c:showPercent val="0"/>
          <c:showBubbleSize val="0"/>
        </c:dLbls>
        <c:smooth val="0"/>
        <c:axId val="415390720"/>
        <c:axId val="415385280"/>
      </c:lineChart>
      <c:catAx>
        <c:axId val="415390720"/>
        <c:scaling>
          <c:orientation val="minMax"/>
        </c:scaling>
        <c:delete val="0"/>
        <c:axPos val="b"/>
        <c:title>
          <c:tx>
            <c:rich>
              <a:bodyPr/>
              <a:lstStyle/>
              <a:p>
                <a:pPr>
                  <a:defRPr sz="1200"/>
                </a:pPr>
                <a:r>
                  <a:rPr lang="en-US" sz="1200"/>
                  <a:t>Fiscal Year</a:t>
                </a:r>
              </a:p>
            </c:rich>
          </c:tx>
          <c:layout>
            <c:manualLayout>
              <c:xMode val="edge"/>
              <c:yMode val="edge"/>
              <c:x val="0.48422756091902203"/>
              <c:y val="0.91945592070692705"/>
            </c:manualLayout>
          </c:layout>
          <c:overlay val="0"/>
        </c:title>
        <c:numFmt formatCode="General" sourceLinked="0"/>
        <c:majorTickMark val="out"/>
        <c:minorTickMark val="none"/>
        <c:tickLblPos val="nextTo"/>
        <c:txPr>
          <a:bodyPr/>
          <a:lstStyle/>
          <a:p>
            <a:pPr>
              <a:defRPr sz="1200" b="0" baseline="0">
                <a:latin typeface="+mn-lt"/>
                <a:cs typeface="Arial" panose="020B0604020202020204" pitchFamily="34" charset="0"/>
              </a:defRPr>
            </a:pPr>
            <a:endParaRPr lang="en-US"/>
          </a:p>
        </c:txPr>
        <c:crossAx val="415385280"/>
        <c:crosses val="autoZero"/>
        <c:auto val="1"/>
        <c:lblAlgn val="ctr"/>
        <c:lblOffset val="100"/>
        <c:noMultiLvlLbl val="0"/>
      </c:catAx>
      <c:valAx>
        <c:axId val="415385280"/>
        <c:scaling>
          <c:orientation val="minMax"/>
          <c:max val="2.0000000000000004E-2"/>
          <c:min val="0"/>
        </c:scaling>
        <c:delete val="0"/>
        <c:axPos val="l"/>
        <c:majorGridlines/>
        <c:title>
          <c:tx>
            <c:rich>
              <a:bodyPr/>
              <a:lstStyle/>
              <a:p>
                <a:pPr>
                  <a:defRPr sz="1200"/>
                </a:pPr>
                <a:r>
                  <a:rPr lang="en-US" sz="1200"/>
                  <a:t>Percentage</a:t>
                </a:r>
              </a:p>
            </c:rich>
          </c:tx>
          <c:layout>
            <c:manualLayout>
              <c:xMode val="edge"/>
              <c:yMode val="edge"/>
              <c:x val="4.8473441747445998E-3"/>
              <c:y val="0.36539536980201598"/>
            </c:manualLayout>
          </c:layout>
          <c:overlay val="0"/>
        </c:title>
        <c:numFmt formatCode="0.0%" sourceLinked="0"/>
        <c:majorTickMark val="out"/>
        <c:minorTickMark val="none"/>
        <c:tickLblPos val="nextTo"/>
        <c:txPr>
          <a:bodyPr/>
          <a:lstStyle/>
          <a:p>
            <a:pPr>
              <a:defRPr sz="1200">
                <a:solidFill>
                  <a:sysClr val="windowText" lastClr="000000"/>
                </a:solidFill>
                <a:latin typeface="+mn-lt"/>
                <a:cs typeface="Arial" panose="020B0604020202020204" pitchFamily="34" charset="0"/>
              </a:defRPr>
            </a:pPr>
            <a:endParaRPr lang="en-US"/>
          </a:p>
        </c:txPr>
        <c:crossAx val="415390720"/>
        <c:crosses val="autoZero"/>
        <c:crossBetween val="between"/>
        <c:majorUnit val="5.000000000000001E-3"/>
      </c:valAx>
      <c:spPr>
        <a:ln>
          <a:solidFill>
            <a:schemeClr val="bg1">
              <a:lumMod val="50000"/>
            </a:schemeClr>
          </a:solidFill>
          <a:prstDash val="solid"/>
        </a:ln>
      </c:spPr>
    </c:plotArea>
    <c:plotVisOnly val="1"/>
    <c:dispBlanksAs val="gap"/>
    <c:showDLblsOverMax val="0"/>
  </c:chart>
  <c:printSettings>
    <c:headerFooter/>
    <c:pageMargins b="0.750000000000004" l="0.70000000000000095" r="0.70000000000000095" t="0.750000000000004" header="0.3" footer="0.3"/>
    <c:pageSetup/>
  </c:printSettings>
  <c:userShapes r:id="rId1"/>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a:latin typeface="+mn-lt"/>
                <a:cs typeface="Arial" panose="020B0604020202020204" pitchFamily="34" charset="0"/>
              </a:defRPr>
            </a:pPr>
            <a:r>
              <a:rPr lang="en-US"/>
              <a:t>OB.DAAC Multi-Year Product Distribution Trend</a:t>
            </a:r>
          </a:p>
        </c:rich>
      </c:tx>
      <c:layout>
        <c:manualLayout>
          <c:xMode val="edge"/>
          <c:yMode val="edge"/>
          <c:x val="0.219374642226661"/>
          <c:y val="4.2874122560153598E-2"/>
        </c:manualLayout>
      </c:layout>
      <c:overlay val="0"/>
    </c:title>
    <c:autoTitleDeleted val="0"/>
    <c:plotArea>
      <c:layout>
        <c:manualLayout>
          <c:layoutTarget val="inner"/>
          <c:xMode val="edge"/>
          <c:yMode val="edge"/>
          <c:x val="0.113107657173634"/>
          <c:y val="0.18225294239347301"/>
          <c:w val="0.85726272307204099"/>
          <c:h val="0.65529307668611403"/>
        </c:manualLayout>
      </c:layout>
      <c:barChart>
        <c:barDir val="col"/>
        <c:grouping val="clustered"/>
        <c:varyColors val="0"/>
        <c:ser>
          <c:idx val="0"/>
          <c:order val="0"/>
          <c:tx>
            <c:strRef>
              <c:f>Summary_data!$M$21</c:f>
              <c:strCache>
                <c:ptCount val="1"/>
                <c:pt idx="0">
                  <c:v>OB.DAAC</c:v>
                </c:pt>
              </c:strCache>
            </c:strRef>
          </c:tx>
          <c:invertIfNegative val="0"/>
          <c:cat>
            <c:strRef>
              <c:f>Summary_data!$C$22:$C$40</c:f>
              <c:strCache>
                <c:ptCount val="19"/>
                <c:pt idx="0">
                  <c:v>FY07</c:v>
                </c:pt>
                <c:pt idx="1">
                  <c:v>FY08</c:v>
                </c:pt>
                <c:pt idx="2">
                  <c:v>FY09</c:v>
                </c:pt>
                <c:pt idx="3">
                  <c:v>FY10</c:v>
                </c:pt>
                <c:pt idx="4">
                  <c:v>FY11</c:v>
                </c:pt>
                <c:pt idx="5">
                  <c:v>FY12</c:v>
                </c:pt>
                <c:pt idx="6">
                  <c:v>FY13</c:v>
                </c:pt>
                <c:pt idx="7">
                  <c:v>FY14</c:v>
                </c:pt>
                <c:pt idx="8">
                  <c:v>FY15</c:v>
                </c:pt>
                <c:pt idx="9">
                  <c:v>FY16</c:v>
                </c:pt>
                <c:pt idx="10">
                  <c:v>FY17</c:v>
                </c:pt>
                <c:pt idx="11">
                  <c:v>FY18</c:v>
                </c:pt>
                <c:pt idx="12">
                  <c:v>FY19</c:v>
                </c:pt>
                <c:pt idx="13">
                  <c:v>FY20</c:v>
                </c:pt>
                <c:pt idx="14">
                  <c:v>FY21</c:v>
                </c:pt>
                <c:pt idx="15">
                  <c:v>FY22</c:v>
                </c:pt>
                <c:pt idx="16">
                  <c:v>FY23</c:v>
                </c:pt>
                <c:pt idx="17">
                  <c:v>FY24</c:v>
                </c:pt>
                <c:pt idx="18">
                  <c:v>FY25</c:v>
                </c:pt>
              </c:strCache>
            </c:strRef>
          </c:cat>
          <c:val>
            <c:numRef>
              <c:f>Summary_data!$M$22:$M$40</c:f>
              <c:numCache>
                <c:formatCode>_(* #,##0.0_);_(* \(#,##0.0\);_(* "-"??_);_(@_)</c:formatCode>
                <c:ptCount val="19"/>
                <c:pt idx="0">
                  <c:v>0</c:v>
                </c:pt>
                <c:pt idx="1">
                  <c:v>10.672893999999999</c:v>
                </c:pt>
                <c:pt idx="2">
                  <c:v>8.655132</c:v>
                </c:pt>
                <c:pt idx="3">
                  <c:v>12.42596</c:v>
                </c:pt>
                <c:pt idx="4">
                  <c:v>20.538207</c:v>
                </c:pt>
                <c:pt idx="5">
                  <c:v>16.768246000000001</c:v>
                </c:pt>
                <c:pt idx="6">
                  <c:v>18.293759999999999</c:v>
                </c:pt>
                <c:pt idx="7">
                  <c:v>27.464272000000001</c:v>
                </c:pt>
                <c:pt idx="8">
                  <c:v>56.956518000000003</c:v>
                </c:pt>
                <c:pt idx="9">
                  <c:v>65.432243</c:v>
                </c:pt>
                <c:pt idx="10">
                  <c:v>47.917738</c:v>
                </c:pt>
                <c:pt idx="11">
                  <c:v>55.382038000000001</c:v>
                </c:pt>
                <c:pt idx="12">
                  <c:v>38.363185000000001</c:v>
                </c:pt>
                <c:pt idx="13">
                  <c:v>56.457978999999995</c:v>
                </c:pt>
                <c:pt idx="14">
                  <c:v>50.985855000000001</c:v>
                </c:pt>
                <c:pt idx="15">
                  <c:v>70.861675000000005</c:v>
                </c:pt>
                <c:pt idx="16">
                  <c:v>69.771438000000003</c:v>
                </c:pt>
                <c:pt idx="17">
                  <c:v>66.930110999999997</c:v>
                </c:pt>
                <c:pt idx="18">
                  <c:v>83.849919999999997</c:v>
                </c:pt>
              </c:numCache>
            </c:numRef>
          </c:val>
          <c:extLst>
            <c:ext xmlns:c16="http://schemas.microsoft.com/office/drawing/2014/chart" uri="{C3380CC4-5D6E-409C-BE32-E72D297353CC}">
              <c16:uniqueId val="{00000000-778C-B642-A0B5-E16BACF47F53}"/>
            </c:ext>
          </c:extLst>
        </c:ser>
        <c:dLbls>
          <c:showLegendKey val="0"/>
          <c:showVal val="0"/>
          <c:showCatName val="0"/>
          <c:showSerName val="0"/>
          <c:showPercent val="0"/>
          <c:showBubbleSize val="0"/>
        </c:dLbls>
        <c:gapWidth val="150"/>
        <c:axId val="415386368"/>
        <c:axId val="415380384"/>
      </c:barChart>
      <c:catAx>
        <c:axId val="415386368"/>
        <c:scaling>
          <c:orientation val="minMax"/>
        </c:scaling>
        <c:delete val="0"/>
        <c:axPos val="b"/>
        <c:title>
          <c:tx>
            <c:rich>
              <a:bodyPr/>
              <a:lstStyle/>
              <a:p>
                <a:pPr>
                  <a:defRPr sz="1200"/>
                </a:pPr>
                <a:r>
                  <a:rPr lang="en-US" sz="1200"/>
                  <a:t>Fiscal Year</a:t>
                </a:r>
              </a:p>
            </c:rich>
          </c:tx>
          <c:layout>
            <c:manualLayout>
              <c:xMode val="edge"/>
              <c:yMode val="edge"/>
              <c:x val="0.51269424232162897"/>
              <c:y val="0.91856945601153805"/>
            </c:manualLayout>
          </c:layout>
          <c:overlay val="0"/>
        </c:title>
        <c:numFmt formatCode="General" sourceLinked="0"/>
        <c:majorTickMark val="out"/>
        <c:minorTickMark val="none"/>
        <c:tickLblPos val="nextTo"/>
        <c:txPr>
          <a:bodyPr/>
          <a:lstStyle/>
          <a:p>
            <a:pPr>
              <a:defRPr sz="1200" b="0" baseline="0">
                <a:latin typeface="+mn-lt"/>
                <a:cs typeface="Arial" panose="020B0604020202020204" pitchFamily="34" charset="0"/>
              </a:defRPr>
            </a:pPr>
            <a:endParaRPr lang="en-US"/>
          </a:p>
        </c:txPr>
        <c:crossAx val="415380384"/>
        <c:crosses val="autoZero"/>
        <c:auto val="1"/>
        <c:lblAlgn val="ctr"/>
        <c:lblOffset val="100"/>
        <c:noMultiLvlLbl val="0"/>
      </c:catAx>
      <c:valAx>
        <c:axId val="415380384"/>
        <c:scaling>
          <c:orientation val="minMax"/>
        </c:scaling>
        <c:delete val="0"/>
        <c:axPos val="l"/>
        <c:majorGridlines/>
        <c:title>
          <c:tx>
            <c:rich>
              <a:bodyPr/>
              <a:lstStyle/>
              <a:p>
                <a:pPr>
                  <a:defRPr sz="1200"/>
                </a:pPr>
                <a:r>
                  <a:rPr lang="en-US" sz="1200"/>
                  <a:t>Product Distributed (Millions)</a:t>
                </a:r>
              </a:p>
            </c:rich>
          </c:tx>
          <c:layout>
            <c:manualLayout>
              <c:xMode val="edge"/>
              <c:yMode val="edge"/>
              <c:x val="1.6285028493567399E-2"/>
              <c:y val="0.17328868888728299"/>
            </c:manualLayout>
          </c:layout>
          <c:overlay val="0"/>
        </c:title>
        <c:numFmt formatCode="#,##0" sourceLinked="0"/>
        <c:majorTickMark val="out"/>
        <c:minorTickMark val="none"/>
        <c:tickLblPos val="nextTo"/>
        <c:spPr>
          <a:ln>
            <a:solidFill>
              <a:schemeClr val="bg1">
                <a:lumMod val="50000"/>
              </a:schemeClr>
            </a:solidFill>
          </a:ln>
        </c:spPr>
        <c:txPr>
          <a:bodyPr/>
          <a:lstStyle/>
          <a:p>
            <a:pPr>
              <a:defRPr sz="1200">
                <a:latin typeface="+mn-lt"/>
                <a:cs typeface="Arial" panose="020B0604020202020204" pitchFamily="34" charset="0"/>
              </a:defRPr>
            </a:pPr>
            <a:endParaRPr lang="en-US"/>
          </a:p>
        </c:txPr>
        <c:crossAx val="415386368"/>
        <c:crosses val="autoZero"/>
        <c:crossBetween val="between"/>
      </c:valAx>
      <c:spPr>
        <a:ln>
          <a:solidFill>
            <a:schemeClr val="bg1">
              <a:lumMod val="50000"/>
            </a:schemeClr>
          </a:solidFill>
          <a:prstDash val="solid"/>
        </a:ln>
      </c:spPr>
    </c:plotArea>
    <c:plotVisOnly val="1"/>
    <c:dispBlanksAs val="gap"/>
    <c:showDLblsOverMax val="0"/>
  </c:chart>
  <c:printSettings>
    <c:headerFooter/>
    <c:pageMargins b="0.750000000000004" l="0.70000000000000095" r="0.70000000000000095" t="0.750000000000004"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64616982539214"/>
          <c:y val="0.12410591934371332"/>
          <c:w val="0.798349496295651"/>
          <c:h val="0.6589646998990828"/>
        </c:manualLayout>
      </c:layout>
      <c:barChart>
        <c:barDir val="col"/>
        <c:grouping val="clustered"/>
        <c:varyColors val="0"/>
        <c:ser>
          <c:idx val="0"/>
          <c:order val="0"/>
          <c:tx>
            <c:strRef>
              <c:f>data!$B$283</c:f>
              <c:strCache>
                <c:ptCount val="1"/>
                <c:pt idx="0">
                  <c:v>VISITS</c:v>
                </c:pt>
              </c:strCache>
            </c:strRef>
          </c:tx>
          <c:spPr>
            <a:solidFill>
              <a:schemeClr val="accent1"/>
            </a:solidFill>
            <a:ln>
              <a:noFill/>
            </a:ln>
            <a:effectLst/>
          </c:spPr>
          <c:invertIfNegative val="0"/>
          <c:cat>
            <c:strRef>
              <c:f>data!$A$284:$A$302</c:f>
              <c:strCache>
                <c:ptCount val="19"/>
                <c:pt idx="0">
                  <c:v>FY07</c:v>
                </c:pt>
                <c:pt idx="1">
                  <c:v>FY08</c:v>
                </c:pt>
                <c:pt idx="2">
                  <c:v>FY09</c:v>
                </c:pt>
                <c:pt idx="3">
                  <c:v>FY10</c:v>
                </c:pt>
                <c:pt idx="4">
                  <c:v>FY11</c:v>
                </c:pt>
                <c:pt idx="5">
                  <c:v>FY12</c:v>
                </c:pt>
                <c:pt idx="6">
                  <c:v>FY13</c:v>
                </c:pt>
                <c:pt idx="7">
                  <c:v>FY14</c:v>
                </c:pt>
                <c:pt idx="8">
                  <c:v>FY15</c:v>
                </c:pt>
                <c:pt idx="9">
                  <c:v>FY16</c:v>
                </c:pt>
                <c:pt idx="10">
                  <c:v>FY17</c:v>
                </c:pt>
                <c:pt idx="11">
                  <c:v>FY18</c:v>
                </c:pt>
                <c:pt idx="12">
                  <c:v>FY19</c:v>
                </c:pt>
                <c:pt idx="13">
                  <c:v>FY20</c:v>
                </c:pt>
                <c:pt idx="14">
                  <c:v>FY21</c:v>
                </c:pt>
                <c:pt idx="15">
                  <c:v>FY22</c:v>
                </c:pt>
                <c:pt idx="16">
                  <c:v>FY23</c:v>
                </c:pt>
                <c:pt idx="17">
                  <c:v>FY24</c:v>
                </c:pt>
                <c:pt idx="18">
                  <c:v>FY25</c:v>
                </c:pt>
              </c:strCache>
            </c:strRef>
          </c:cat>
          <c:val>
            <c:numRef>
              <c:f>data!$B$284:$B$302</c:f>
              <c:numCache>
                <c:formatCode>_(* #,##0_);_(* \(#,##0\);_(* "-"??_);_(@_)</c:formatCode>
                <c:ptCount val="19"/>
                <c:pt idx="0">
                  <c:v>125817</c:v>
                </c:pt>
                <c:pt idx="1">
                  <c:v>145765</c:v>
                </c:pt>
                <c:pt idx="2">
                  <c:v>160681</c:v>
                </c:pt>
                <c:pt idx="3">
                  <c:v>191478</c:v>
                </c:pt>
                <c:pt idx="4">
                  <c:v>199316</c:v>
                </c:pt>
                <c:pt idx="5">
                  <c:v>165200</c:v>
                </c:pt>
                <c:pt idx="6">
                  <c:v>159750</c:v>
                </c:pt>
                <c:pt idx="7">
                  <c:v>47436</c:v>
                </c:pt>
                <c:pt idx="8">
                  <c:v>52864</c:v>
                </c:pt>
                <c:pt idx="9">
                  <c:v>55046</c:v>
                </c:pt>
                <c:pt idx="10">
                  <c:v>58238</c:v>
                </c:pt>
                <c:pt idx="11">
                  <c:v>67042</c:v>
                </c:pt>
                <c:pt idx="12">
                  <c:v>47666</c:v>
                </c:pt>
                <c:pt idx="13">
                  <c:v>37605</c:v>
                </c:pt>
                <c:pt idx="14">
                  <c:v>33355</c:v>
                </c:pt>
                <c:pt idx="15">
                  <c:v>33263</c:v>
                </c:pt>
                <c:pt idx="16">
                  <c:v>98360</c:v>
                </c:pt>
                <c:pt idx="17">
                  <c:v>53749</c:v>
                </c:pt>
                <c:pt idx="18">
                  <c:v>145652</c:v>
                </c:pt>
              </c:numCache>
            </c:numRef>
          </c:val>
          <c:extLst>
            <c:ext xmlns:c16="http://schemas.microsoft.com/office/drawing/2014/chart" uri="{C3380CC4-5D6E-409C-BE32-E72D297353CC}">
              <c16:uniqueId val="{00000000-54BF-324F-91DF-930FF83D0C45}"/>
            </c:ext>
          </c:extLst>
        </c:ser>
        <c:ser>
          <c:idx val="1"/>
          <c:order val="1"/>
          <c:tx>
            <c:strRef>
              <c:f>data!$C$283</c:f>
              <c:strCache>
                <c:ptCount val="1"/>
                <c:pt idx="0">
                  <c:v>VIEWS</c:v>
                </c:pt>
              </c:strCache>
            </c:strRef>
          </c:tx>
          <c:spPr>
            <a:solidFill>
              <a:schemeClr val="accent2"/>
            </a:solidFill>
            <a:ln>
              <a:noFill/>
            </a:ln>
            <a:effectLst/>
          </c:spPr>
          <c:invertIfNegative val="0"/>
          <c:cat>
            <c:strRef>
              <c:f>data!$A$284:$A$302</c:f>
              <c:strCache>
                <c:ptCount val="19"/>
                <c:pt idx="0">
                  <c:v>FY07</c:v>
                </c:pt>
                <c:pt idx="1">
                  <c:v>FY08</c:v>
                </c:pt>
                <c:pt idx="2">
                  <c:v>FY09</c:v>
                </c:pt>
                <c:pt idx="3">
                  <c:v>FY10</c:v>
                </c:pt>
                <c:pt idx="4">
                  <c:v>FY11</c:v>
                </c:pt>
                <c:pt idx="5">
                  <c:v>FY12</c:v>
                </c:pt>
                <c:pt idx="6">
                  <c:v>FY13</c:v>
                </c:pt>
                <c:pt idx="7">
                  <c:v>FY14</c:v>
                </c:pt>
                <c:pt idx="8">
                  <c:v>FY15</c:v>
                </c:pt>
                <c:pt idx="9">
                  <c:v>FY16</c:v>
                </c:pt>
                <c:pt idx="10">
                  <c:v>FY17</c:v>
                </c:pt>
                <c:pt idx="11">
                  <c:v>FY18</c:v>
                </c:pt>
                <c:pt idx="12">
                  <c:v>FY19</c:v>
                </c:pt>
                <c:pt idx="13">
                  <c:v>FY20</c:v>
                </c:pt>
                <c:pt idx="14">
                  <c:v>FY21</c:v>
                </c:pt>
                <c:pt idx="15">
                  <c:v>FY22</c:v>
                </c:pt>
                <c:pt idx="16">
                  <c:v>FY23</c:v>
                </c:pt>
                <c:pt idx="17">
                  <c:v>FY24</c:v>
                </c:pt>
                <c:pt idx="18">
                  <c:v>FY25</c:v>
                </c:pt>
              </c:strCache>
            </c:strRef>
          </c:cat>
          <c:val>
            <c:numRef>
              <c:f>data!$C$284:$C$302</c:f>
              <c:numCache>
                <c:formatCode>_(* #,##0_);_(* \(#,##0\);_(* "-"??_);_(@_)</c:formatCode>
                <c:ptCount val="19"/>
                <c:pt idx="0">
                  <c:v>1394032</c:v>
                </c:pt>
                <c:pt idx="1">
                  <c:v>1613397</c:v>
                </c:pt>
                <c:pt idx="2">
                  <c:v>1799677</c:v>
                </c:pt>
                <c:pt idx="3">
                  <c:v>2205316</c:v>
                </c:pt>
                <c:pt idx="4">
                  <c:v>2420483</c:v>
                </c:pt>
                <c:pt idx="5">
                  <c:v>1743569</c:v>
                </c:pt>
                <c:pt idx="6">
                  <c:v>1808786</c:v>
                </c:pt>
                <c:pt idx="7">
                  <c:v>483566</c:v>
                </c:pt>
                <c:pt idx="8">
                  <c:v>501339</c:v>
                </c:pt>
                <c:pt idx="9">
                  <c:v>542003</c:v>
                </c:pt>
                <c:pt idx="10">
                  <c:v>551711</c:v>
                </c:pt>
                <c:pt idx="11">
                  <c:v>818083</c:v>
                </c:pt>
                <c:pt idx="12">
                  <c:v>556331</c:v>
                </c:pt>
                <c:pt idx="13">
                  <c:v>410065</c:v>
                </c:pt>
                <c:pt idx="14">
                  <c:v>340844</c:v>
                </c:pt>
                <c:pt idx="15">
                  <c:v>420619</c:v>
                </c:pt>
                <c:pt idx="16">
                  <c:v>252960</c:v>
                </c:pt>
                <c:pt idx="17">
                  <c:v>226043</c:v>
                </c:pt>
                <c:pt idx="18">
                  <c:v>203159</c:v>
                </c:pt>
              </c:numCache>
            </c:numRef>
          </c:val>
          <c:extLst>
            <c:ext xmlns:c16="http://schemas.microsoft.com/office/drawing/2014/chart" uri="{C3380CC4-5D6E-409C-BE32-E72D297353CC}">
              <c16:uniqueId val="{00000001-54BF-324F-91DF-930FF83D0C45}"/>
            </c:ext>
          </c:extLst>
        </c:ser>
        <c:ser>
          <c:idx val="2"/>
          <c:order val="2"/>
          <c:tx>
            <c:strRef>
              <c:f>data!$D$283</c:f>
              <c:strCache>
                <c:ptCount val="1"/>
                <c:pt idx="0">
                  <c:v>VISITORS</c:v>
                </c:pt>
              </c:strCache>
            </c:strRef>
          </c:tx>
          <c:spPr>
            <a:solidFill>
              <a:schemeClr val="accent3"/>
            </a:solidFill>
            <a:ln>
              <a:noFill/>
            </a:ln>
            <a:effectLst/>
          </c:spPr>
          <c:invertIfNegative val="0"/>
          <c:cat>
            <c:strRef>
              <c:f>data!$A$284:$A$302</c:f>
              <c:strCache>
                <c:ptCount val="19"/>
                <c:pt idx="0">
                  <c:v>FY07</c:v>
                </c:pt>
                <c:pt idx="1">
                  <c:v>FY08</c:v>
                </c:pt>
                <c:pt idx="2">
                  <c:v>FY09</c:v>
                </c:pt>
                <c:pt idx="3">
                  <c:v>FY10</c:v>
                </c:pt>
                <c:pt idx="4">
                  <c:v>FY11</c:v>
                </c:pt>
                <c:pt idx="5">
                  <c:v>FY12</c:v>
                </c:pt>
                <c:pt idx="6">
                  <c:v>FY13</c:v>
                </c:pt>
                <c:pt idx="7">
                  <c:v>FY14</c:v>
                </c:pt>
                <c:pt idx="8">
                  <c:v>FY15</c:v>
                </c:pt>
                <c:pt idx="9">
                  <c:v>FY16</c:v>
                </c:pt>
                <c:pt idx="10">
                  <c:v>FY17</c:v>
                </c:pt>
                <c:pt idx="11">
                  <c:v>FY18</c:v>
                </c:pt>
                <c:pt idx="12">
                  <c:v>FY19</c:v>
                </c:pt>
                <c:pt idx="13">
                  <c:v>FY20</c:v>
                </c:pt>
                <c:pt idx="14">
                  <c:v>FY21</c:v>
                </c:pt>
                <c:pt idx="15">
                  <c:v>FY22</c:v>
                </c:pt>
                <c:pt idx="16">
                  <c:v>FY23</c:v>
                </c:pt>
                <c:pt idx="17">
                  <c:v>FY24</c:v>
                </c:pt>
                <c:pt idx="18">
                  <c:v>FY25</c:v>
                </c:pt>
              </c:strCache>
            </c:strRef>
          </c:cat>
          <c:val>
            <c:numRef>
              <c:f>data!$D$284:$D$302</c:f>
              <c:numCache>
                <c:formatCode>_(* #,##0_);_(* \(#,##0\);_(* "-"??_);_(@_)</c:formatCode>
                <c:ptCount val="19"/>
                <c:pt idx="0">
                  <c:v>84470</c:v>
                </c:pt>
                <c:pt idx="1">
                  <c:v>96327</c:v>
                </c:pt>
                <c:pt idx="2">
                  <c:v>109905</c:v>
                </c:pt>
                <c:pt idx="3">
                  <c:v>129351</c:v>
                </c:pt>
                <c:pt idx="4">
                  <c:v>139685</c:v>
                </c:pt>
                <c:pt idx="5">
                  <c:v>106536</c:v>
                </c:pt>
                <c:pt idx="6">
                  <c:v>100981</c:v>
                </c:pt>
                <c:pt idx="7">
                  <c:v>31305</c:v>
                </c:pt>
                <c:pt idx="8">
                  <c:v>35782</c:v>
                </c:pt>
                <c:pt idx="9">
                  <c:v>38903</c:v>
                </c:pt>
                <c:pt idx="10">
                  <c:v>40974</c:v>
                </c:pt>
                <c:pt idx="11">
                  <c:v>49138</c:v>
                </c:pt>
                <c:pt idx="12">
                  <c:v>45365</c:v>
                </c:pt>
                <c:pt idx="13">
                  <c:v>45480</c:v>
                </c:pt>
                <c:pt idx="14">
                  <c:v>51095</c:v>
                </c:pt>
                <c:pt idx="15">
                  <c:v>45234</c:v>
                </c:pt>
                <c:pt idx="16">
                  <c:v>114569</c:v>
                </c:pt>
                <c:pt idx="17">
                  <c:v>40605</c:v>
                </c:pt>
                <c:pt idx="18">
                  <c:v>108537</c:v>
                </c:pt>
              </c:numCache>
            </c:numRef>
          </c:val>
          <c:extLst>
            <c:ext xmlns:c16="http://schemas.microsoft.com/office/drawing/2014/chart" uri="{C3380CC4-5D6E-409C-BE32-E72D297353CC}">
              <c16:uniqueId val="{00000002-54BF-324F-91DF-930FF83D0C45}"/>
            </c:ext>
          </c:extLst>
        </c:ser>
        <c:dLbls>
          <c:showLegendKey val="0"/>
          <c:showVal val="0"/>
          <c:showCatName val="0"/>
          <c:showSerName val="0"/>
          <c:showPercent val="0"/>
          <c:showBubbleSize val="0"/>
        </c:dLbls>
        <c:gapWidth val="219"/>
        <c:overlap val="-27"/>
        <c:axId val="361716288"/>
        <c:axId val="361718464"/>
      </c:barChart>
      <c:catAx>
        <c:axId val="361716288"/>
        <c:scaling>
          <c:orientation val="minMax"/>
        </c:scaling>
        <c:delete val="0"/>
        <c:axPos val="b"/>
        <c:title>
          <c:tx>
            <c:rich>
              <a:bodyPr rot="0" spcFirstLastPara="1" vertOverflow="ellipsis" vert="horz" wrap="square" anchor="ctr" anchorCtr="1"/>
              <a:lstStyle/>
              <a:p>
                <a:pPr>
                  <a:defRPr sz="1200" b="1" i="0" u="none" strike="noStrike" kern="1200" baseline="0">
                    <a:solidFill>
                      <a:sysClr val="windowText" lastClr="000000"/>
                    </a:solidFill>
                    <a:latin typeface="+mn-lt"/>
                    <a:ea typeface="+mn-ea"/>
                    <a:cs typeface="+mn-cs"/>
                  </a:defRPr>
                </a:pPr>
                <a:r>
                  <a:rPr lang="en-US" sz="1200" b="1">
                    <a:solidFill>
                      <a:sysClr val="windowText" lastClr="000000"/>
                    </a:solidFill>
                  </a:rPr>
                  <a:t>Fiscal Year</a:t>
                </a:r>
              </a:p>
            </c:rich>
          </c:tx>
          <c:layout>
            <c:manualLayout>
              <c:xMode val="edge"/>
              <c:yMode val="edge"/>
              <c:x val="0.52015726535887796"/>
              <c:y val="0.92867232948051204"/>
            </c:manualLayout>
          </c:layout>
          <c:overlay val="0"/>
          <c:spPr>
            <a:noFill/>
            <a:ln>
              <a:noFill/>
            </a:ln>
            <a:effectLst/>
          </c:spPr>
          <c:txPr>
            <a:bodyPr rot="0" spcFirstLastPara="1" vertOverflow="ellipsis" vert="horz" wrap="square" anchor="ctr" anchorCtr="1"/>
            <a:lstStyle/>
            <a:p>
              <a:pPr>
                <a:defRPr sz="1200" b="1" i="0" u="none" strike="noStrike" kern="1200" baseline="0">
                  <a:solidFill>
                    <a:sysClr val="windowText" lastClr="000000"/>
                  </a:solidFill>
                  <a:latin typeface="+mn-lt"/>
                  <a:ea typeface="+mn-ea"/>
                  <a:cs typeface="+mn-cs"/>
                </a:defRPr>
              </a:pPr>
              <a:endParaRPr lang="en-US"/>
            </a:p>
          </c:txPr>
        </c:title>
        <c:numFmt formatCode="General" sourceLinked="1"/>
        <c:majorTickMark val="out"/>
        <c:minorTickMark val="none"/>
        <c:tickLblPos val="nextTo"/>
        <c:spPr>
          <a:noFill/>
          <a:ln w="12700" cap="flat" cmpd="sng" algn="ctr">
            <a:solidFill>
              <a:schemeClr val="bg1">
                <a:lumMod val="50000"/>
              </a:schemeClr>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en-US"/>
          </a:p>
        </c:txPr>
        <c:crossAx val="361718464"/>
        <c:crosses val="autoZero"/>
        <c:auto val="1"/>
        <c:lblAlgn val="ctr"/>
        <c:lblOffset val="100"/>
        <c:noMultiLvlLbl val="0"/>
      </c:catAx>
      <c:valAx>
        <c:axId val="361718464"/>
        <c:scaling>
          <c:orientation val="minMax"/>
        </c:scaling>
        <c:delete val="0"/>
        <c:axPos val="l"/>
        <c:majorGridlines>
          <c:spPr>
            <a:ln w="9525" cap="flat" cmpd="sng" algn="ctr">
              <a:solidFill>
                <a:schemeClr val="bg1">
                  <a:lumMod val="50000"/>
                </a:schemeClr>
              </a:solidFill>
              <a:round/>
            </a:ln>
            <a:effectLst/>
          </c:spPr>
        </c:majorGridlines>
        <c:title>
          <c:tx>
            <c:rich>
              <a:bodyPr rot="-5400000" spcFirstLastPara="1" vertOverflow="ellipsis" vert="horz" wrap="square" anchor="ctr" anchorCtr="1"/>
              <a:lstStyle/>
              <a:p>
                <a:pPr>
                  <a:defRPr sz="1200" b="1" i="0" u="none" strike="noStrike" kern="1200" baseline="0">
                    <a:solidFill>
                      <a:sysClr val="windowText" lastClr="000000"/>
                    </a:solidFill>
                    <a:latin typeface="+mn-lt"/>
                    <a:ea typeface="+mn-ea"/>
                    <a:cs typeface="+mn-cs"/>
                  </a:defRPr>
                </a:pPr>
                <a:r>
                  <a:rPr lang="en-US" sz="1200" b="1">
                    <a:solidFill>
                      <a:sysClr val="windowText" lastClr="000000"/>
                    </a:solidFill>
                  </a:rPr>
                  <a:t>Number </a:t>
                </a:r>
              </a:p>
            </c:rich>
          </c:tx>
          <c:layout>
            <c:manualLayout>
              <c:xMode val="edge"/>
              <c:yMode val="edge"/>
              <c:x val="3.3999234192006499E-3"/>
              <c:y val="0.346614823753157"/>
            </c:manualLayout>
          </c:layout>
          <c:overlay val="0"/>
          <c:spPr>
            <a:noFill/>
            <a:ln>
              <a:noFill/>
            </a:ln>
            <a:effectLst/>
          </c:spPr>
          <c:txPr>
            <a:bodyPr rot="-5400000" spcFirstLastPara="1" vertOverflow="ellipsis" vert="horz" wrap="square" anchor="ctr" anchorCtr="1"/>
            <a:lstStyle/>
            <a:p>
              <a:pPr>
                <a:defRPr sz="1200" b="1" i="0" u="none" strike="noStrike" kern="1200" baseline="0">
                  <a:solidFill>
                    <a:sysClr val="windowText" lastClr="000000"/>
                  </a:solidFill>
                  <a:latin typeface="+mn-lt"/>
                  <a:ea typeface="+mn-ea"/>
                  <a:cs typeface="+mn-cs"/>
                </a:defRPr>
              </a:pPr>
              <a:endParaRPr lang="en-US"/>
            </a:p>
          </c:txPr>
        </c:title>
        <c:numFmt formatCode="#,##0" sourceLinked="0"/>
        <c:majorTickMark val="out"/>
        <c:minorTickMark val="none"/>
        <c:tickLblPos val="nextTo"/>
        <c:spPr>
          <a:noFill/>
          <a:ln>
            <a:solidFill>
              <a:schemeClr val="bg1">
                <a:lumMod val="50000"/>
              </a:schemeClr>
            </a:solid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en-US"/>
          </a:p>
        </c:txPr>
        <c:crossAx val="361716288"/>
        <c:crosses val="autoZero"/>
        <c:crossBetween val="between"/>
      </c:valAx>
      <c:spPr>
        <a:noFill/>
        <a:ln>
          <a:solidFill>
            <a:schemeClr val="bg1">
              <a:lumMod val="50000"/>
            </a:schemeClr>
          </a:solidFill>
        </a:ln>
        <a:effectLst/>
      </c:spPr>
    </c:plotArea>
    <c:legend>
      <c:legendPos val="b"/>
      <c:layout>
        <c:manualLayout>
          <c:xMode val="edge"/>
          <c:yMode val="edge"/>
          <c:x val="0.49433402830789669"/>
          <c:y val="0.17236906895079526"/>
          <c:w val="0.43458209103110301"/>
          <c:h val="7.0069702211775803E-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bg1">
          <a:lumMod val="50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64617039265194"/>
          <c:y val="0.143607581541664"/>
          <c:w val="0.798349496295651"/>
          <c:h val="0.70576857582792596"/>
        </c:manualLayout>
      </c:layout>
      <c:barChart>
        <c:barDir val="col"/>
        <c:grouping val="clustered"/>
        <c:varyColors val="0"/>
        <c:ser>
          <c:idx val="34"/>
          <c:order val="0"/>
          <c:tx>
            <c:strRef>
              <c:f>data!$AC$283</c:f>
              <c:strCache>
                <c:ptCount val="1"/>
                <c:pt idx="0">
                  <c:v>VISITS</c:v>
                </c:pt>
              </c:strCache>
            </c:strRef>
          </c:tx>
          <c:invertIfNegative val="0"/>
          <c:cat>
            <c:strRef>
              <c:f>data!$A$284:$A$302</c:f>
              <c:strCache>
                <c:ptCount val="19"/>
                <c:pt idx="0">
                  <c:v>FY07</c:v>
                </c:pt>
                <c:pt idx="1">
                  <c:v>FY08</c:v>
                </c:pt>
                <c:pt idx="2">
                  <c:v>FY09</c:v>
                </c:pt>
                <c:pt idx="3">
                  <c:v>FY10</c:v>
                </c:pt>
                <c:pt idx="4">
                  <c:v>FY11</c:v>
                </c:pt>
                <c:pt idx="5">
                  <c:v>FY12</c:v>
                </c:pt>
                <c:pt idx="6">
                  <c:v>FY13</c:v>
                </c:pt>
                <c:pt idx="7">
                  <c:v>FY14</c:v>
                </c:pt>
                <c:pt idx="8">
                  <c:v>FY15</c:v>
                </c:pt>
                <c:pt idx="9">
                  <c:v>FY16</c:v>
                </c:pt>
                <c:pt idx="10">
                  <c:v>FY17</c:v>
                </c:pt>
                <c:pt idx="11">
                  <c:v>FY18</c:v>
                </c:pt>
                <c:pt idx="12">
                  <c:v>FY19</c:v>
                </c:pt>
                <c:pt idx="13">
                  <c:v>FY20</c:v>
                </c:pt>
                <c:pt idx="14">
                  <c:v>FY21</c:v>
                </c:pt>
                <c:pt idx="15">
                  <c:v>FY22</c:v>
                </c:pt>
                <c:pt idx="16">
                  <c:v>FY23</c:v>
                </c:pt>
                <c:pt idx="17">
                  <c:v>FY24</c:v>
                </c:pt>
                <c:pt idx="18">
                  <c:v>FY25</c:v>
                </c:pt>
              </c:strCache>
            </c:strRef>
          </c:cat>
          <c:val>
            <c:numRef>
              <c:f>data!$AC$284:$AC$302</c:f>
              <c:numCache>
                <c:formatCode>_(* #,##0_);_(* \(#,##0\);_(* "-"??_);_(@_)</c:formatCode>
                <c:ptCount val="19"/>
                <c:pt idx="13">
                  <c:v>108762</c:v>
                </c:pt>
                <c:pt idx="14">
                  <c:v>133631</c:v>
                </c:pt>
                <c:pt idx="15">
                  <c:v>135507</c:v>
                </c:pt>
                <c:pt idx="16">
                  <c:v>106572</c:v>
                </c:pt>
                <c:pt idx="17">
                  <c:v>57137</c:v>
                </c:pt>
                <c:pt idx="18">
                  <c:v>168713</c:v>
                </c:pt>
              </c:numCache>
            </c:numRef>
          </c:val>
          <c:extLst>
            <c:ext xmlns:c16="http://schemas.microsoft.com/office/drawing/2014/chart" uri="{C3380CC4-5D6E-409C-BE32-E72D297353CC}">
              <c16:uniqueId val="{00000000-F533-F849-9F07-284EF8480667}"/>
            </c:ext>
          </c:extLst>
        </c:ser>
        <c:ser>
          <c:idx val="35"/>
          <c:order val="1"/>
          <c:tx>
            <c:strRef>
              <c:f>data!$AD$283</c:f>
              <c:strCache>
                <c:ptCount val="1"/>
                <c:pt idx="0">
                  <c:v>VIEWS</c:v>
                </c:pt>
              </c:strCache>
            </c:strRef>
          </c:tx>
          <c:spPr>
            <a:solidFill>
              <a:schemeClr val="accent2"/>
            </a:solidFill>
          </c:spPr>
          <c:invertIfNegative val="0"/>
          <c:cat>
            <c:strRef>
              <c:f>data!$A$284:$A$302</c:f>
              <c:strCache>
                <c:ptCount val="19"/>
                <c:pt idx="0">
                  <c:v>FY07</c:v>
                </c:pt>
                <c:pt idx="1">
                  <c:v>FY08</c:v>
                </c:pt>
                <c:pt idx="2">
                  <c:v>FY09</c:v>
                </c:pt>
                <c:pt idx="3">
                  <c:v>FY10</c:v>
                </c:pt>
                <c:pt idx="4">
                  <c:v>FY11</c:v>
                </c:pt>
                <c:pt idx="5">
                  <c:v>FY12</c:v>
                </c:pt>
                <c:pt idx="6">
                  <c:v>FY13</c:v>
                </c:pt>
                <c:pt idx="7">
                  <c:v>FY14</c:v>
                </c:pt>
                <c:pt idx="8">
                  <c:v>FY15</c:v>
                </c:pt>
                <c:pt idx="9">
                  <c:v>FY16</c:v>
                </c:pt>
                <c:pt idx="10">
                  <c:v>FY17</c:v>
                </c:pt>
                <c:pt idx="11">
                  <c:v>FY18</c:v>
                </c:pt>
                <c:pt idx="12">
                  <c:v>FY19</c:v>
                </c:pt>
                <c:pt idx="13">
                  <c:v>FY20</c:v>
                </c:pt>
                <c:pt idx="14">
                  <c:v>FY21</c:v>
                </c:pt>
                <c:pt idx="15">
                  <c:v>FY22</c:v>
                </c:pt>
                <c:pt idx="16">
                  <c:v>FY23</c:v>
                </c:pt>
                <c:pt idx="17">
                  <c:v>FY24</c:v>
                </c:pt>
                <c:pt idx="18">
                  <c:v>FY25</c:v>
                </c:pt>
              </c:strCache>
            </c:strRef>
          </c:cat>
          <c:val>
            <c:numRef>
              <c:f>data!$AD$284:$AD$302</c:f>
              <c:numCache>
                <c:formatCode>_(* #,##0_);_(* \(#,##0\);_(* "-"??_);_(@_)</c:formatCode>
                <c:ptCount val="19"/>
                <c:pt idx="13">
                  <c:v>1933043</c:v>
                </c:pt>
                <c:pt idx="14">
                  <c:v>2113562</c:v>
                </c:pt>
                <c:pt idx="15">
                  <c:v>2017371</c:v>
                </c:pt>
                <c:pt idx="16">
                  <c:v>516261</c:v>
                </c:pt>
                <c:pt idx="17">
                  <c:v>391636</c:v>
                </c:pt>
                <c:pt idx="18">
                  <c:v>586628</c:v>
                </c:pt>
              </c:numCache>
            </c:numRef>
          </c:val>
          <c:extLst>
            <c:ext xmlns:c16="http://schemas.microsoft.com/office/drawing/2014/chart" uri="{C3380CC4-5D6E-409C-BE32-E72D297353CC}">
              <c16:uniqueId val="{00000001-F533-F849-9F07-284EF8480667}"/>
            </c:ext>
          </c:extLst>
        </c:ser>
        <c:ser>
          <c:idx val="36"/>
          <c:order val="2"/>
          <c:tx>
            <c:strRef>
              <c:f>data!$AE$283</c:f>
              <c:strCache>
                <c:ptCount val="1"/>
                <c:pt idx="0">
                  <c:v>VISITORS</c:v>
                </c:pt>
              </c:strCache>
            </c:strRef>
          </c:tx>
          <c:spPr>
            <a:solidFill>
              <a:schemeClr val="accent1"/>
            </a:solidFill>
          </c:spPr>
          <c:invertIfNegative val="0"/>
          <c:cat>
            <c:strRef>
              <c:f>data!$A$284:$A$302</c:f>
              <c:strCache>
                <c:ptCount val="19"/>
                <c:pt idx="0">
                  <c:v>FY07</c:v>
                </c:pt>
                <c:pt idx="1">
                  <c:v>FY08</c:v>
                </c:pt>
                <c:pt idx="2">
                  <c:v>FY09</c:v>
                </c:pt>
                <c:pt idx="3">
                  <c:v>FY10</c:v>
                </c:pt>
                <c:pt idx="4">
                  <c:v>FY11</c:v>
                </c:pt>
                <c:pt idx="5">
                  <c:v>FY12</c:v>
                </c:pt>
                <c:pt idx="6">
                  <c:v>FY13</c:v>
                </c:pt>
                <c:pt idx="7">
                  <c:v>FY14</c:v>
                </c:pt>
                <c:pt idx="8">
                  <c:v>FY15</c:v>
                </c:pt>
                <c:pt idx="9">
                  <c:v>FY16</c:v>
                </c:pt>
                <c:pt idx="10">
                  <c:v>FY17</c:v>
                </c:pt>
                <c:pt idx="11">
                  <c:v>FY18</c:v>
                </c:pt>
                <c:pt idx="12">
                  <c:v>FY19</c:v>
                </c:pt>
                <c:pt idx="13">
                  <c:v>FY20</c:v>
                </c:pt>
                <c:pt idx="14">
                  <c:v>FY21</c:v>
                </c:pt>
                <c:pt idx="15">
                  <c:v>FY22</c:v>
                </c:pt>
                <c:pt idx="16">
                  <c:v>FY23</c:v>
                </c:pt>
                <c:pt idx="17">
                  <c:v>FY24</c:v>
                </c:pt>
                <c:pt idx="18">
                  <c:v>FY25</c:v>
                </c:pt>
              </c:strCache>
            </c:strRef>
          </c:cat>
          <c:val>
            <c:numRef>
              <c:f>data!$AE$284:$AE$302</c:f>
              <c:numCache>
                <c:formatCode>_(* #,##0_);_(* \(#,##0\);_(* "-"??_);_(@_)</c:formatCode>
                <c:ptCount val="19"/>
                <c:pt idx="13">
                  <c:v>64501</c:v>
                </c:pt>
                <c:pt idx="14">
                  <c:v>108303</c:v>
                </c:pt>
                <c:pt idx="15">
                  <c:v>91821</c:v>
                </c:pt>
                <c:pt idx="16">
                  <c:v>89168</c:v>
                </c:pt>
                <c:pt idx="17">
                  <c:v>37621</c:v>
                </c:pt>
                <c:pt idx="18">
                  <c:v>72925</c:v>
                </c:pt>
              </c:numCache>
            </c:numRef>
          </c:val>
          <c:extLst>
            <c:ext xmlns:c16="http://schemas.microsoft.com/office/drawing/2014/chart" uri="{C3380CC4-5D6E-409C-BE32-E72D297353CC}">
              <c16:uniqueId val="{00000002-F533-F849-9F07-284EF8480667}"/>
            </c:ext>
          </c:extLst>
        </c:ser>
        <c:dLbls>
          <c:showLegendKey val="0"/>
          <c:showVal val="0"/>
          <c:showCatName val="0"/>
          <c:showSerName val="0"/>
          <c:showPercent val="0"/>
          <c:showBubbleSize val="0"/>
        </c:dLbls>
        <c:gapWidth val="219"/>
        <c:overlap val="-27"/>
        <c:axId val="415377664"/>
        <c:axId val="415388000"/>
      </c:barChart>
      <c:catAx>
        <c:axId val="415377664"/>
        <c:scaling>
          <c:orientation val="minMax"/>
        </c:scaling>
        <c:delete val="0"/>
        <c:axPos val="b"/>
        <c:title>
          <c:tx>
            <c:rich>
              <a:bodyPr rot="0" spcFirstLastPara="1" vertOverflow="ellipsis" vert="horz" wrap="square" anchor="ctr" anchorCtr="1"/>
              <a:lstStyle/>
              <a:p>
                <a:pPr>
                  <a:defRPr sz="1200" b="1" i="0" u="none" strike="noStrike" kern="1200" baseline="0">
                    <a:solidFill>
                      <a:sysClr val="windowText" lastClr="000000"/>
                    </a:solidFill>
                    <a:latin typeface="+mn-lt"/>
                    <a:ea typeface="+mn-ea"/>
                    <a:cs typeface="+mn-cs"/>
                  </a:defRPr>
                </a:pPr>
                <a:r>
                  <a:rPr lang="en-US" sz="1200" b="1">
                    <a:solidFill>
                      <a:sysClr val="windowText" lastClr="000000"/>
                    </a:solidFill>
                  </a:rPr>
                  <a:t>Fiscal Year</a:t>
                </a:r>
              </a:p>
            </c:rich>
          </c:tx>
          <c:layout>
            <c:manualLayout>
              <c:xMode val="edge"/>
              <c:yMode val="edge"/>
              <c:x val="0.52015726535887796"/>
              <c:y val="0.92867232948051204"/>
            </c:manualLayout>
          </c:layout>
          <c:overlay val="0"/>
          <c:spPr>
            <a:noFill/>
            <a:ln>
              <a:noFill/>
            </a:ln>
            <a:effectLst/>
          </c:spPr>
        </c:title>
        <c:numFmt formatCode="General" sourceLinked="1"/>
        <c:majorTickMark val="out"/>
        <c:minorTickMark val="none"/>
        <c:tickLblPos val="nextTo"/>
        <c:spPr>
          <a:noFill/>
          <a:ln w="12700" cap="flat" cmpd="sng" algn="ctr">
            <a:solidFill>
              <a:schemeClr val="bg1">
                <a:lumMod val="50000"/>
              </a:schemeClr>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en-US"/>
          </a:p>
        </c:txPr>
        <c:crossAx val="415388000"/>
        <c:crosses val="autoZero"/>
        <c:auto val="1"/>
        <c:lblAlgn val="ctr"/>
        <c:lblOffset val="100"/>
        <c:noMultiLvlLbl val="0"/>
      </c:catAx>
      <c:valAx>
        <c:axId val="415388000"/>
        <c:scaling>
          <c:orientation val="minMax"/>
        </c:scaling>
        <c:delete val="0"/>
        <c:axPos val="l"/>
        <c:majorGridlines>
          <c:spPr>
            <a:ln w="9525" cap="flat" cmpd="sng" algn="ctr">
              <a:solidFill>
                <a:schemeClr val="bg1">
                  <a:lumMod val="50000"/>
                </a:schemeClr>
              </a:solidFill>
              <a:round/>
            </a:ln>
            <a:effectLst/>
          </c:spPr>
        </c:majorGridlines>
        <c:title>
          <c:tx>
            <c:rich>
              <a:bodyPr rot="-5400000" spcFirstLastPara="1" vertOverflow="ellipsis" vert="horz" wrap="square" anchor="ctr" anchorCtr="1"/>
              <a:lstStyle/>
              <a:p>
                <a:pPr>
                  <a:defRPr sz="1200" b="1" i="0" u="none" strike="noStrike" kern="1200" baseline="0">
                    <a:solidFill>
                      <a:sysClr val="windowText" lastClr="000000"/>
                    </a:solidFill>
                    <a:latin typeface="+mn-lt"/>
                    <a:ea typeface="+mn-ea"/>
                    <a:cs typeface="+mn-cs"/>
                  </a:defRPr>
                </a:pPr>
                <a:r>
                  <a:rPr lang="en-US" sz="1200" b="1">
                    <a:solidFill>
                      <a:sysClr val="windowText" lastClr="000000"/>
                    </a:solidFill>
                  </a:rPr>
                  <a:t>Number </a:t>
                </a:r>
              </a:p>
            </c:rich>
          </c:tx>
          <c:layout>
            <c:manualLayout>
              <c:xMode val="edge"/>
              <c:yMode val="edge"/>
              <c:x val="3.3999234192006499E-3"/>
              <c:y val="0.346614823753157"/>
            </c:manualLayout>
          </c:layout>
          <c:overlay val="0"/>
          <c:spPr>
            <a:noFill/>
            <a:ln>
              <a:noFill/>
            </a:ln>
            <a:effectLst/>
          </c:spPr>
        </c:title>
        <c:numFmt formatCode="#,##0.0" sourceLinked="0"/>
        <c:majorTickMark val="out"/>
        <c:minorTickMark val="none"/>
        <c:tickLblPos val="nextTo"/>
        <c:spPr>
          <a:noFill/>
          <a:ln>
            <a:solidFill>
              <a:schemeClr val="bg1">
                <a:lumMod val="50000"/>
              </a:schemeClr>
            </a:solid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en-US"/>
          </a:p>
        </c:txPr>
        <c:crossAx val="415377664"/>
        <c:crosses val="autoZero"/>
        <c:crossBetween val="between"/>
      </c:valAx>
      <c:spPr>
        <a:noFill/>
        <a:ln>
          <a:solidFill>
            <a:schemeClr val="bg1">
              <a:lumMod val="50000"/>
            </a:schemeClr>
          </a:solidFill>
        </a:ln>
        <a:effectLst/>
      </c:spPr>
    </c:plotArea>
    <c:plotVisOnly val="1"/>
    <c:dispBlanksAs val="gap"/>
    <c:showDLblsOverMax val="0"/>
  </c:chart>
  <c:spPr>
    <a:solidFill>
      <a:schemeClr val="bg1"/>
    </a:solidFill>
    <a:ln w="9525" cap="flat" cmpd="sng" algn="ctr">
      <a:solidFill>
        <a:schemeClr val="bg1">
          <a:lumMod val="50000"/>
        </a:schemeClr>
      </a:solidFill>
      <a:round/>
    </a:ln>
    <a:effectLst/>
  </c:spPr>
  <c:txPr>
    <a:bodyPr/>
    <a:lstStyle/>
    <a:p>
      <a:pPr>
        <a:defRPr/>
      </a:pPr>
      <a:endParaRPr lang="en-US"/>
    </a:p>
  </c:txPr>
  <c:printSettings>
    <c:headerFooter/>
    <c:pageMargins b="0.75" l="0.7" r="0.7" t="0.75" header="0.3" footer="0.3"/>
    <c:pageSetup/>
  </c:printSettings>
  <c:userShapes r:id="rId1"/>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a:latin typeface="+mn-lt"/>
                <a:cs typeface="Arial" panose="020B0604020202020204" pitchFamily="34" charset="0"/>
              </a:defRPr>
            </a:pPr>
            <a:r>
              <a:rPr lang="en-US"/>
              <a:t>PO.DAAC Multi-Year Total Archive Volume Trend</a:t>
            </a:r>
          </a:p>
        </c:rich>
      </c:tx>
      <c:layout>
        <c:manualLayout>
          <c:xMode val="edge"/>
          <c:yMode val="edge"/>
          <c:x val="0.223544133657093"/>
          <c:y val="3.8412164179890997E-2"/>
        </c:manualLayout>
      </c:layout>
      <c:overlay val="0"/>
    </c:title>
    <c:autoTitleDeleted val="0"/>
    <c:plotArea>
      <c:layout>
        <c:manualLayout>
          <c:layoutTarget val="inner"/>
          <c:xMode val="edge"/>
          <c:yMode val="edge"/>
          <c:x val="0.13772725415267445"/>
          <c:y val="0.18228668594254499"/>
          <c:w val="0.82333198896313509"/>
          <c:h val="0.65076746334831104"/>
        </c:manualLayout>
      </c:layout>
      <c:barChart>
        <c:barDir val="col"/>
        <c:grouping val="clustered"/>
        <c:varyColors val="0"/>
        <c:ser>
          <c:idx val="0"/>
          <c:order val="0"/>
          <c:tx>
            <c:strRef>
              <c:f>data!$M$156</c:f>
              <c:strCache>
                <c:ptCount val="1"/>
                <c:pt idx="0">
                  <c:v>PO.DAAC</c:v>
                </c:pt>
              </c:strCache>
            </c:strRef>
          </c:tx>
          <c:spPr>
            <a:solidFill>
              <a:schemeClr val="accent2">
                <a:lumMod val="75000"/>
              </a:schemeClr>
            </a:solidFill>
          </c:spPr>
          <c:invertIfNegative val="0"/>
          <c:cat>
            <c:strRef>
              <c:f>data!$A$157:$A$174</c:f>
              <c:strCache>
                <c:ptCount val="18"/>
                <c:pt idx="0">
                  <c:v>FY08</c:v>
                </c:pt>
                <c:pt idx="1">
                  <c:v>FY09</c:v>
                </c:pt>
                <c:pt idx="2">
                  <c:v>FY10</c:v>
                </c:pt>
                <c:pt idx="3">
                  <c:v>FY11</c:v>
                </c:pt>
                <c:pt idx="4">
                  <c:v>FY12</c:v>
                </c:pt>
                <c:pt idx="5">
                  <c:v>FY13</c:v>
                </c:pt>
                <c:pt idx="6">
                  <c:v>FY14</c:v>
                </c:pt>
                <c:pt idx="7">
                  <c:v>FY15</c:v>
                </c:pt>
                <c:pt idx="8">
                  <c:v>FY16</c:v>
                </c:pt>
                <c:pt idx="9">
                  <c:v>FY17</c:v>
                </c:pt>
                <c:pt idx="10">
                  <c:v>FY18</c:v>
                </c:pt>
                <c:pt idx="11">
                  <c:v>FY19</c:v>
                </c:pt>
                <c:pt idx="12">
                  <c:v>FY20</c:v>
                </c:pt>
                <c:pt idx="13">
                  <c:v>FY21</c:v>
                </c:pt>
                <c:pt idx="14">
                  <c:v>FY22</c:v>
                </c:pt>
                <c:pt idx="15">
                  <c:v>FY23</c:v>
                </c:pt>
                <c:pt idx="16">
                  <c:v>FY24</c:v>
                </c:pt>
                <c:pt idx="17">
                  <c:v>FY25</c:v>
                </c:pt>
              </c:strCache>
            </c:strRef>
          </c:cat>
          <c:val>
            <c:numRef>
              <c:f>data!$M$157:$M$174</c:f>
              <c:numCache>
                <c:formatCode>_(* #,##0.00_);_(* \(#,##0.00\);_(* "-"??_);_(@_)</c:formatCode>
                <c:ptCount val="18"/>
                <c:pt idx="0">
                  <c:v>21.843390625000001</c:v>
                </c:pt>
                <c:pt idx="1">
                  <c:v>29.620999999999999</c:v>
                </c:pt>
                <c:pt idx="2">
                  <c:v>32.902135742187497</c:v>
                </c:pt>
                <c:pt idx="3">
                  <c:v>36.163331054687497</c:v>
                </c:pt>
                <c:pt idx="4">
                  <c:v>41.469843750000003</c:v>
                </c:pt>
                <c:pt idx="5">
                  <c:v>44.454013671875003</c:v>
                </c:pt>
                <c:pt idx="6">
                  <c:v>54.879029105307303</c:v>
                </c:pt>
                <c:pt idx="7">
                  <c:v>89.562392578125014</c:v>
                </c:pt>
                <c:pt idx="8">
                  <c:v>164.003359375</c:v>
                </c:pt>
                <c:pt idx="9">
                  <c:v>245.70528320312502</c:v>
                </c:pt>
                <c:pt idx="10">
                  <c:v>314.8735548427951</c:v>
                </c:pt>
                <c:pt idx="11">
                  <c:v>456.55</c:v>
                </c:pt>
                <c:pt idx="12">
                  <c:v>672.48</c:v>
                </c:pt>
                <c:pt idx="13">
                  <c:v>1376.2587890625</c:v>
                </c:pt>
                <c:pt idx="14">
                  <c:v>1950.7139941406249</c:v>
                </c:pt>
                <c:pt idx="15">
                  <c:v>2858.0539166191502</c:v>
                </c:pt>
                <c:pt idx="16">
                  <c:v>11245.461728515626</c:v>
                </c:pt>
                <c:pt idx="17">
                  <c:v>21625.814306640626</c:v>
                </c:pt>
              </c:numCache>
            </c:numRef>
          </c:val>
          <c:extLst>
            <c:ext xmlns:c16="http://schemas.microsoft.com/office/drawing/2014/chart" uri="{C3380CC4-5D6E-409C-BE32-E72D297353CC}">
              <c16:uniqueId val="{00000000-B96D-7E45-9AE5-B9B1D733E45F}"/>
            </c:ext>
          </c:extLst>
        </c:ser>
        <c:dLbls>
          <c:showLegendKey val="0"/>
          <c:showVal val="0"/>
          <c:showCatName val="0"/>
          <c:showSerName val="0"/>
          <c:showPercent val="0"/>
          <c:showBubbleSize val="0"/>
        </c:dLbls>
        <c:gapWidth val="150"/>
        <c:axId val="415387456"/>
        <c:axId val="415389088"/>
      </c:barChart>
      <c:catAx>
        <c:axId val="415387456"/>
        <c:scaling>
          <c:orientation val="minMax"/>
        </c:scaling>
        <c:delete val="0"/>
        <c:axPos val="b"/>
        <c:title>
          <c:tx>
            <c:rich>
              <a:bodyPr/>
              <a:lstStyle/>
              <a:p>
                <a:pPr>
                  <a:defRPr sz="1200"/>
                </a:pPr>
                <a:r>
                  <a:rPr lang="en-US" sz="1200"/>
                  <a:t>Fiscal Year</a:t>
                </a:r>
              </a:p>
            </c:rich>
          </c:tx>
          <c:layout>
            <c:manualLayout>
              <c:xMode val="edge"/>
              <c:yMode val="edge"/>
              <c:x val="0.49999567596515698"/>
              <c:y val="0.91411120752953801"/>
            </c:manualLayout>
          </c:layout>
          <c:overlay val="0"/>
        </c:title>
        <c:numFmt formatCode="General" sourceLinked="0"/>
        <c:majorTickMark val="out"/>
        <c:minorTickMark val="none"/>
        <c:tickLblPos val="nextTo"/>
        <c:txPr>
          <a:bodyPr/>
          <a:lstStyle/>
          <a:p>
            <a:pPr>
              <a:defRPr sz="1200" b="0" baseline="0">
                <a:latin typeface="+mn-lt"/>
                <a:cs typeface="Arial" panose="020B0604020202020204" pitchFamily="34" charset="0"/>
              </a:defRPr>
            </a:pPr>
            <a:endParaRPr lang="en-US"/>
          </a:p>
        </c:txPr>
        <c:crossAx val="415389088"/>
        <c:crosses val="autoZero"/>
        <c:auto val="1"/>
        <c:lblAlgn val="ctr"/>
        <c:lblOffset val="100"/>
        <c:noMultiLvlLbl val="0"/>
      </c:catAx>
      <c:valAx>
        <c:axId val="415389088"/>
        <c:scaling>
          <c:orientation val="minMax"/>
        </c:scaling>
        <c:delete val="0"/>
        <c:axPos val="l"/>
        <c:majorGridlines/>
        <c:title>
          <c:tx>
            <c:rich>
              <a:bodyPr/>
              <a:lstStyle/>
              <a:p>
                <a:pPr>
                  <a:defRPr sz="1200"/>
                </a:pPr>
                <a:r>
                  <a:rPr lang="en-US" sz="1200"/>
                  <a:t>Volume (TB)</a:t>
                </a:r>
              </a:p>
            </c:rich>
          </c:tx>
          <c:layout>
            <c:manualLayout>
              <c:xMode val="edge"/>
              <c:yMode val="edge"/>
              <c:x val="1.62849872773537E-2"/>
              <c:y val="0.34790157257870402"/>
            </c:manualLayout>
          </c:layout>
          <c:overlay val="0"/>
        </c:title>
        <c:numFmt formatCode="#,##0" sourceLinked="0"/>
        <c:majorTickMark val="out"/>
        <c:minorTickMark val="none"/>
        <c:tickLblPos val="nextTo"/>
        <c:spPr>
          <a:ln>
            <a:solidFill>
              <a:schemeClr val="bg1">
                <a:lumMod val="50000"/>
              </a:schemeClr>
            </a:solidFill>
          </a:ln>
        </c:spPr>
        <c:txPr>
          <a:bodyPr/>
          <a:lstStyle/>
          <a:p>
            <a:pPr>
              <a:defRPr sz="1200">
                <a:latin typeface="+mn-lt"/>
                <a:cs typeface="Arial" panose="020B0604020202020204" pitchFamily="34" charset="0"/>
              </a:defRPr>
            </a:pPr>
            <a:endParaRPr lang="en-US"/>
          </a:p>
        </c:txPr>
        <c:crossAx val="415387456"/>
        <c:crosses val="autoZero"/>
        <c:crossBetween val="between"/>
      </c:valAx>
      <c:spPr>
        <a:ln>
          <a:solidFill>
            <a:schemeClr val="bg1">
              <a:lumMod val="50000"/>
            </a:schemeClr>
          </a:solidFill>
          <a:prstDash val="solid"/>
        </a:ln>
      </c:spPr>
    </c:plotArea>
    <c:plotVisOnly val="1"/>
    <c:dispBlanksAs val="gap"/>
    <c:showDLblsOverMax val="0"/>
  </c:chart>
  <c:printSettings>
    <c:headerFooter/>
    <c:pageMargins b="0.750000000000004" l="0.70000000000000095" r="0.70000000000000095" t="0.750000000000004" header="0.3" footer="0.3"/>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026532186658235"/>
          <c:y val="0.14901950216041901"/>
          <c:w val="0.83889779275906018"/>
          <c:h val="0.68891197860574704"/>
        </c:manualLayout>
      </c:layout>
      <c:lineChart>
        <c:grouping val="standard"/>
        <c:varyColors val="0"/>
        <c:ser>
          <c:idx val="0"/>
          <c:order val="0"/>
          <c:tx>
            <c:strRef>
              <c:f>data!$M$176</c:f>
              <c:strCache>
                <c:ptCount val="1"/>
                <c:pt idx="0">
                  <c:v>PO.DAAC</c:v>
                </c:pt>
              </c:strCache>
            </c:strRef>
          </c:tx>
          <c:marker>
            <c:symbol val="none"/>
          </c:marker>
          <c:cat>
            <c:strRef>
              <c:f>data!$A$177:$A$191</c:f>
              <c:strCache>
                <c:ptCount val="15"/>
                <c:pt idx="0">
                  <c:v>FY08</c:v>
                </c:pt>
                <c:pt idx="1">
                  <c:v>FY09</c:v>
                </c:pt>
                <c:pt idx="2">
                  <c:v>FY10</c:v>
                </c:pt>
                <c:pt idx="3">
                  <c:v>FY11</c:v>
                </c:pt>
                <c:pt idx="4">
                  <c:v>FY12</c:v>
                </c:pt>
                <c:pt idx="5">
                  <c:v>FY13</c:v>
                </c:pt>
                <c:pt idx="6">
                  <c:v>FY14</c:v>
                </c:pt>
                <c:pt idx="7">
                  <c:v>FY15</c:v>
                </c:pt>
                <c:pt idx="8">
                  <c:v>FY16</c:v>
                </c:pt>
                <c:pt idx="9">
                  <c:v>FY17</c:v>
                </c:pt>
                <c:pt idx="10">
                  <c:v>FY18</c:v>
                </c:pt>
                <c:pt idx="11">
                  <c:v>FY19</c:v>
                </c:pt>
                <c:pt idx="12">
                  <c:v>FY20</c:v>
                </c:pt>
                <c:pt idx="13">
                  <c:v>FY21</c:v>
                </c:pt>
                <c:pt idx="14">
                  <c:v>FY22</c:v>
                </c:pt>
              </c:strCache>
            </c:strRef>
          </c:cat>
          <c:val>
            <c:numRef>
              <c:f>data!$M$177:$M$191</c:f>
              <c:numCache>
                <c:formatCode>0.0%</c:formatCode>
                <c:ptCount val="15"/>
                <c:pt idx="0">
                  <c:v>0.3592377107575398</c:v>
                </c:pt>
                <c:pt idx="1">
                  <c:v>0.30162634959682932</c:v>
                </c:pt>
                <c:pt idx="2">
                  <c:v>0.35940032414910861</c:v>
                </c:pt>
                <c:pt idx="3">
                  <c:v>0.13245337159253945</c:v>
                </c:pt>
                <c:pt idx="4">
                  <c:v>0.12790491396132694</c:v>
                </c:pt>
                <c:pt idx="5">
                  <c:v>0.37919999999999998</c:v>
                </c:pt>
                <c:pt idx="6">
                  <c:v>0.46317441419990257</c:v>
                </c:pt>
                <c:pt idx="7">
                  <c:v>0.30471387666139577</c:v>
                </c:pt>
                <c:pt idx="8">
                  <c:v>0.31115350981795054</c:v>
                </c:pt>
                <c:pt idx="9">
                  <c:v>0.3167139227455168</c:v>
                </c:pt>
                <c:pt idx="10">
                  <c:v>0.31003674616326826</c:v>
                </c:pt>
                <c:pt idx="11">
                  <c:v>0.2608115889323272</c:v>
                </c:pt>
              </c:numCache>
            </c:numRef>
          </c:val>
          <c:smooth val="0"/>
          <c:extLst>
            <c:ext xmlns:c16="http://schemas.microsoft.com/office/drawing/2014/chart" uri="{C3380CC4-5D6E-409C-BE32-E72D297353CC}">
              <c16:uniqueId val="{00000000-8C8D-C94B-849E-E51872409068}"/>
            </c:ext>
          </c:extLst>
        </c:ser>
        <c:dLbls>
          <c:showLegendKey val="0"/>
          <c:showVal val="0"/>
          <c:showCatName val="0"/>
          <c:showSerName val="0"/>
          <c:showPercent val="0"/>
          <c:showBubbleSize val="0"/>
        </c:dLbls>
        <c:smooth val="0"/>
        <c:axId val="415390176"/>
        <c:axId val="415386912"/>
      </c:lineChart>
      <c:catAx>
        <c:axId val="415390176"/>
        <c:scaling>
          <c:orientation val="minMax"/>
        </c:scaling>
        <c:delete val="0"/>
        <c:axPos val="b"/>
        <c:title>
          <c:tx>
            <c:rich>
              <a:bodyPr/>
              <a:lstStyle/>
              <a:p>
                <a:pPr>
                  <a:defRPr sz="1200"/>
                </a:pPr>
                <a:r>
                  <a:rPr lang="en-US" sz="1200"/>
                  <a:t>Fiscal Year</a:t>
                </a:r>
              </a:p>
            </c:rich>
          </c:tx>
          <c:layout>
            <c:manualLayout>
              <c:xMode val="edge"/>
              <c:yMode val="edge"/>
              <c:x val="0.48422756091902203"/>
              <c:y val="0.91945592070692705"/>
            </c:manualLayout>
          </c:layout>
          <c:overlay val="0"/>
        </c:title>
        <c:numFmt formatCode="General" sourceLinked="0"/>
        <c:majorTickMark val="out"/>
        <c:minorTickMark val="none"/>
        <c:tickLblPos val="nextTo"/>
        <c:txPr>
          <a:bodyPr/>
          <a:lstStyle/>
          <a:p>
            <a:pPr>
              <a:defRPr sz="1200" b="0" baseline="0">
                <a:latin typeface="+mn-lt"/>
                <a:cs typeface="Arial" panose="020B0604020202020204" pitchFamily="34" charset="0"/>
              </a:defRPr>
            </a:pPr>
            <a:endParaRPr lang="en-US"/>
          </a:p>
        </c:txPr>
        <c:crossAx val="415386912"/>
        <c:crosses val="autoZero"/>
        <c:auto val="1"/>
        <c:lblAlgn val="ctr"/>
        <c:lblOffset val="100"/>
        <c:noMultiLvlLbl val="0"/>
      </c:catAx>
      <c:valAx>
        <c:axId val="415386912"/>
        <c:scaling>
          <c:orientation val="minMax"/>
        </c:scaling>
        <c:delete val="0"/>
        <c:axPos val="l"/>
        <c:majorGridlines/>
        <c:title>
          <c:tx>
            <c:rich>
              <a:bodyPr/>
              <a:lstStyle/>
              <a:p>
                <a:pPr>
                  <a:defRPr sz="1200"/>
                </a:pPr>
                <a:r>
                  <a:rPr lang="en-US" sz="1200"/>
                  <a:t>Percentage</a:t>
                </a:r>
              </a:p>
            </c:rich>
          </c:tx>
          <c:layout>
            <c:manualLayout>
              <c:xMode val="edge"/>
              <c:yMode val="edge"/>
              <c:x val="4.8473441747445998E-3"/>
              <c:y val="0.36539536980201598"/>
            </c:manualLayout>
          </c:layout>
          <c:overlay val="0"/>
        </c:title>
        <c:numFmt formatCode="0%" sourceLinked="0"/>
        <c:majorTickMark val="out"/>
        <c:minorTickMark val="none"/>
        <c:tickLblPos val="nextTo"/>
        <c:txPr>
          <a:bodyPr/>
          <a:lstStyle/>
          <a:p>
            <a:pPr>
              <a:defRPr sz="1200">
                <a:solidFill>
                  <a:sysClr val="windowText" lastClr="000000"/>
                </a:solidFill>
                <a:latin typeface="+mn-lt"/>
                <a:cs typeface="Arial" panose="020B0604020202020204" pitchFamily="34" charset="0"/>
              </a:defRPr>
            </a:pPr>
            <a:endParaRPr lang="en-US"/>
          </a:p>
        </c:txPr>
        <c:crossAx val="415390176"/>
        <c:crosses val="autoZero"/>
        <c:crossBetween val="between"/>
      </c:valAx>
      <c:spPr>
        <a:ln>
          <a:solidFill>
            <a:schemeClr val="bg1">
              <a:lumMod val="50000"/>
            </a:schemeClr>
          </a:solidFill>
          <a:prstDash val="solid"/>
        </a:ln>
      </c:spPr>
    </c:plotArea>
    <c:plotVisOnly val="1"/>
    <c:dispBlanksAs val="gap"/>
    <c:showDLblsOverMax val="0"/>
  </c:chart>
  <c:printSettings>
    <c:headerFooter/>
    <c:pageMargins b="0.750000000000004" l="0.70000000000000095" r="0.70000000000000095" t="0.750000000000004" header="0.3" footer="0.3"/>
    <c:pageSetup/>
  </c:printSettings>
  <c:userShapes r:id="rId1"/>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a:latin typeface="+mn-lt"/>
                <a:cs typeface="Arial" panose="020B0604020202020204" pitchFamily="34" charset="0"/>
              </a:defRPr>
            </a:pPr>
            <a:r>
              <a:rPr lang="en-US"/>
              <a:t>PO.DAAC Multi-Year Product Distribution Trend</a:t>
            </a:r>
          </a:p>
        </c:rich>
      </c:tx>
      <c:layout>
        <c:manualLayout>
          <c:xMode val="edge"/>
          <c:yMode val="edge"/>
          <c:x val="0.219374642226661"/>
          <c:y val="4.2874122560153598E-2"/>
        </c:manualLayout>
      </c:layout>
      <c:overlay val="0"/>
    </c:title>
    <c:autoTitleDeleted val="0"/>
    <c:plotArea>
      <c:layout>
        <c:manualLayout>
          <c:layoutTarget val="inner"/>
          <c:xMode val="edge"/>
          <c:yMode val="edge"/>
          <c:x val="0.12813345944469534"/>
          <c:y val="0.18225294239347301"/>
          <c:w val="0.84223684957772071"/>
          <c:h val="0.65529307668611403"/>
        </c:manualLayout>
      </c:layout>
      <c:barChart>
        <c:barDir val="col"/>
        <c:grouping val="clustered"/>
        <c:varyColors val="0"/>
        <c:ser>
          <c:idx val="0"/>
          <c:order val="0"/>
          <c:tx>
            <c:strRef>
              <c:f>Summary_data!$O$21</c:f>
              <c:strCache>
                <c:ptCount val="1"/>
                <c:pt idx="0">
                  <c:v>PO.DAAC</c:v>
                </c:pt>
              </c:strCache>
            </c:strRef>
          </c:tx>
          <c:invertIfNegative val="0"/>
          <c:cat>
            <c:strRef>
              <c:f>Summary_data!$C$22:$C$40</c:f>
              <c:strCache>
                <c:ptCount val="19"/>
                <c:pt idx="0">
                  <c:v>FY07</c:v>
                </c:pt>
                <c:pt idx="1">
                  <c:v>FY08</c:v>
                </c:pt>
                <c:pt idx="2">
                  <c:v>FY09</c:v>
                </c:pt>
                <c:pt idx="3">
                  <c:v>FY10</c:v>
                </c:pt>
                <c:pt idx="4">
                  <c:v>FY11</c:v>
                </c:pt>
                <c:pt idx="5">
                  <c:v>FY12</c:v>
                </c:pt>
                <c:pt idx="6">
                  <c:v>FY13</c:v>
                </c:pt>
                <c:pt idx="7">
                  <c:v>FY14</c:v>
                </c:pt>
                <c:pt idx="8">
                  <c:v>FY15</c:v>
                </c:pt>
                <c:pt idx="9">
                  <c:v>FY16</c:v>
                </c:pt>
                <c:pt idx="10">
                  <c:v>FY17</c:v>
                </c:pt>
                <c:pt idx="11">
                  <c:v>FY18</c:v>
                </c:pt>
                <c:pt idx="12">
                  <c:v>FY19</c:v>
                </c:pt>
                <c:pt idx="13">
                  <c:v>FY20</c:v>
                </c:pt>
                <c:pt idx="14">
                  <c:v>FY21</c:v>
                </c:pt>
                <c:pt idx="15">
                  <c:v>FY22</c:v>
                </c:pt>
                <c:pt idx="16">
                  <c:v>FY23</c:v>
                </c:pt>
                <c:pt idx="17">
                  <c:v>FY24</c:v>
                </c:pt>
                <c:pt idx="18">
                  <c:v>FY25</c:v>
                </c:pt>
              </c:strCache>
            </c:strRef>
          </c:cat>
          <c:val>
            <c:numRef>
              <c:f>Summary_data!$O$22:$O$40</c:f>
              <c:numCache>
                <c:formatCode>_(* #,##0.0_);_(* \(#,##0.0\);_(* "-"??_);_(@_)</c:formatCode>
                <c:ptCount val="19"/>
                <c:pt idx="0">
                  <c:v>0</c:v>
                </c:pt>
                <c:pt idx="1">
                  <c:v>16.487646000000002</c:v>
                </c:pt>
                <c:pt idx="2">
                  <c:v>31.722079000000001</c:v>
                </c:pt>
                <c:pt idx="3">
                  <c:v>50.334622000000003</c:v>
                </c:pt>
                <c:pt idx="4">
                  <c:v>38.272939999999998</c:v>
                </c:pt>
                <c:pt idx="5">
                  <c:v>54.068233999999997</c:v>
                </c:pt>
                <c:pt idx="6">
                  <c:v>89.251096000000004</c:v>
                </c:pt>
                <c:pt idx="7">
                  <c:v>71.263045000000005</c:v>
                </c:pt>
                <c:pt idx="8">
                  <c:v>77.176446999999996</c:v>
                </c:pt>
                <c:pt idx="9">
                  <c:v>93.017982000000003</c:v>
                </c:pt>
                <c:pt idx="10">
                  <c:v>87.788122999999999</c:v>
                </c:pt>
                <c:pt idx="11">
                  <c:v>48.444204999999997</c:v>
                </c:pt>
                <c:pt idx="12">
                  <c:v>68.885910999999993</c:v>
                </c:pt>
                <c:pt idx="13">
                  <c:v>59.36428999999999</c:v>
                </c:pt>
                <c:pt idx="14">
                  <c:v>8.4941469999999999</c:v>
                </c:pt>
                <c:pt idx="15">
                  <c:v>510.76768600000003</c:v>
                </c:pt>
                <c:pt idx="16">
                  <c:v>282.31865800000003</c:v>
                </c:pt>
                <c:pt idx="17">
                  <c:v>39.181713999999999</c:v>
                </c:pt>
                <c:pt idx="18">
                  <c:v>163.94438700000001</c:v>
                </c:pt>
              </c:numCache>
            </c:numRef>
          </c:val>
          <c:extLst>
            <c:ext xmlns:c16="http://schemas.microsoft.com/office/drawing/2014/chart" uri="{C3380CC4-5D6E-409C-BE32-E72D297353CC}">
              <c16:uniqueId val="{00000000-4CAB-8D4E-9B8F-32A62E2A4B44}"/>
            </c:ext>
          </c:extLst>
        </c:ser>
        <c:dLbls>
          <c:showLegendKey val="0"/>
          <c:showVal val="0"/>
          <c:showCatName val="0"/>
          <c:showSerName val="0"/>
          <c:showPercent val="0"/>
          <c:showBubbleSize val="0"/>
        </c:dLbls>
        <c:gapWidth val="150"/>
        <c:axId val="415375488"/>
        <c:axId val="415380928"/>
      </c:barChart>
      <c:catAx>
        <c:axId val="415375488"/>
        <c:scaling>
          <c:orientation val="minMax"/>
        </c:scaling>
        <c:delete val="0"/>
        <c:axPos val="b"/>
        <c:title>
          <c:tx>
            <c:rich>
              <a:bodyPr/>
              <a:lstStyle/>
              <a:p>
                <a:pPr>
                  <a:defRPr sz="1200"/>
                </a:pPr>
                <a:r>
                  <a:rPr lang="en-US" sz="1200"/>
                  <a:t>Fiscal Year</a:t>
                </a:r>
              </a:p>
            </c:rich>
          </c:tx>
          <c:layout>
            <c:manualLayout>
              <c:xMode val="edge"/>
              <c:yMode val="edge"/>
              <c:x val="0.51269424232162897"/>
              <c:y val="0.91856945601153805"/>
            </c:manualLayout>
          </c:layout>
          <c:overlay val="0"/>
        </c:title>
        <c:numFmt formatCode="General" sourceLinked="0"/>
        <c:majorTickMark val="out"/>
        <c:minorTickMark val="none"/>
        <c:tickLblPos val="nextTo"/>
        <c:txPr>
          <a:bodyPr/>
          <a:lstStyle/>
          <a:p>
            <a:pPr>
              <a:defRPr sz="1200" b="0" baseline="0">
                <a:latin typeface="+mn-lt"/>
                <a:cs typeface="Arial" panose="020B0604020202020204" pitchFamily="34" charset="0"/>
              </a:defRPr>
            </a:pPr>
            <a:endParaRPr lang="en-US"/>
          </a:p>
        </c:txPr>
        <c:crossAx val="415380928"/>
        <c:crosses val="autoZero"/>
        <c:auto val="1"/>
        <c:lblAlgn val="ctr"/>
        <c:lblOffset val="100"/>
        <c:noMultiLvlLbl val="0"/>
      </c:catAx>
      <c:valAx>
        <c:axId val="415380928"/>
        <c:scaling>
          <c:orientation val="minMax"/>
        </c:scaling>
        <c:delete val="0"/>
        <c:axPos val="l"/>
        <c:majorGridlines/>
        <c:title>
          <c:tx>
            <c:rich>
              <a:bodyPr/>
              <a:lstStyle/>
              <a:p>
                <a:pPr>
                  <a:defRPr sz="1200"/>
                </a:pPr>
                <a:r>
                  <a:rPr lang="en-US" sz="1200"/>
                  <a:t>Product Distributed (Millions)</a:t>
                </a:r>
              </a:p>
            </c:rich>
          </c:tx>
          <c:layout>
            <c:manualLayout>
              <c:xMode val="edge"/>
              <c:yMode val="edge"/>
              <c:x val="1.6285028493567399E-2"/>
              <c:y val="0.17328868888728299"/>
            </c:manualLayout>
          </c:layout>
          <c:overlay val="0"/>
        </c:title>
        <c:numFmt formatCode="#,##0" sourceLinked="0"/>
        <c:majorTickMark val="out"/>
        <c:minorTickMark val="none"/>
        <c:tickLblPos val="nextTo"/>
        <c:spPr>
          <a:ln>
            <a:solidFill>
              <a:schemeClr val="bg1">
                <a:lumMod val="50000"/>
              </a:schemeClr>
            </a:solidFill>
          </a:ln>
        </c:spPr>
        <c:txPr>
          <a:bodyPr/>
          <a:lstStyle/>
          <a:p>
            <a:pPr>
              <a:defRPr sz="1200">
                <a:latin typeface="+mn-lt"/>
                <a:cs typeface="Arial" panose="020B0604020202020204" pitchFamily="34" charset="0"/>
              </a:defRPr>
            </a:pPr>
            <a:endParaRPr lang="en-US"/>
          </a:p>
        </c:txPr>
        <c:crossAx val="415375488"/>
        <c:crosses val="autoZero"/>
        <c:crossBetween val="between"/>
      </c:valAx>
      <c:spPr>
        <a:ln>
          <a:solidFill>
            <a:schemeClr val="bg1">
              <a:lumMod val="50000"/>
            </a:schemeClr>
          </a:solidFill>
          <a:prstDash val="solid"/>
        </a:ln>
      </c:spPr>
    </c:plotArea>
    <c:plotVisOnly val="1"/>
    <c:dispBlanksAs val="gap"/>
    <c:showDLblsOverMax val="0"/>
  </c:chart>
  <c:printSettings>
    <c:headerFooter/>
    <c:pageMargins b="0.750000000000004" l="0.70000000000000095" r="0.70000000000000095" t="0.750000000000004" header="0.3" footer="0.3"/>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467633224398172"/>
          <c:y val="0.143607581541664"/>
          <c:w val="0.8082901818184286"/>
          <c:h val="0.70576857582792596"/>
        </c:manualLayout>
      </c:layout>
      <c:barChart>
        <c:barDir val="col"/>
        <c:grouping val="clustered"/>
        <c:varyColors val="0"/>
        <c:ser>
          <c:idx val="0"/>
          <c:order val="0"/>
          <c:tx>
            <c:strRef>
              <c:f>data!$AI$283</c:f>
              <c:strCache>
                <c:ptCount val="1"/>
                <c:pt idx="0">
                  <c:v>VISITS</c:v>
                </c:pt>
              </c:strCache>
            </c:strRef>
          </c:tx>
          <c:invertIfNegative val="0"/>
          <c:cat>
            <c:strRef>
              <c:f>data!$A$284:$A$302</c:f>
              <c:strCache>
                <c:ptCount val="19"/>
                <c:pt idx="0">
                  <c:v>FY07</c:v>
                </c:pt>
                <c:pt idx="1">
                  <c:v>FY08</c:v>
                </c:pt>
                <c:pt idx="2">
                  <c:v>FY09</c:v>
                </c:pt>
                <c:pt idx="3">
                  <c:v>FY10</c:v>
                </c:pt>
                <c:pt idx="4">
                  <c:v>FY11</c:v>
                </c:pt>
                <c:pt idx="5">
                  <c:v>FY12</c:v>
                </c:pt>
                <c:pt idx="6">
                  <c:v>FY13</c:v>
                </c:pt>
                <c:pt idx="7">
                  <c:v>FY14</c:v>
                </c:pt>
                <c:pt idx="8">
                  <c:v>FY15</c:v>
                </c:pt>
                <c:pt idx="9">
                  <c:v>FY16</c:v>
                </c:pt>
                <c:pt idx="10">
                  <c:v>FY17</c:v>
                </c:pt>
                <c:pt idx="11">
                  <c:v>FY18</c:v>
                </c:pt>
                <c:pt idx="12">
                  <c:v>FY19</c:v>
                </c:pt>
                <c:pt idx="13">
                  <c:v>FY20</c:v>
                </c:pt>
                <c:pt idx="14">
                  <c:v>FY21</c:v>
                </c:pt>
                <c:pt idx="15">
                  <c:v>FY22</c:v>
                </c:pt>
                <c:pt idx="16">
                  <c:v>FY23</c:v>
                </c:pt>
                <c:pt idx="17">
                  <c:v>FY24</c:v>
                </c:pt>
                <c:pt idx="18">
                  <c:v>FY25</c:v>
                </c:pt>
              </c:strCache>
            </c:strRef>
          </c:cat>
          <c:val>
            <c:numRef>
              <c:f>data!$AI$284:$AI$302</c:f>
              <c:numCache>
                <c:formatCode>_(* #,##0_);_(* \(#,##0\);_(* "-"??_);_(@_)</c:formatCode>
                <c:ptCount val="19"/>
                <c:pt idx="0">
                  <c:v>43722</c:v>
                </c:pt>
                <c:pt idx="1">
                  <c:v>24190</c:v>
                </c:pt>
                <c:pt idx="2">
                  <c:v>19878</c:v>
                </c:pt>
                <c:pt idx="3">
                  <c:v>19897</c:v>
                </c:pt>
                <c:pt idx="4">
                  <c:v>25614</c:v>
                </c:pt>
                <c:pt idx="5">
                  <c:v>28056</c:v>
                </c:pt>
                <c:pt idx="6">
                  <c:v>28531</c:v>
                </c:pt>
                <c:pt idx="7">
                  <c:v>29876</c:v>
                </c:pt>
                <c:pt idx="8">
                  <c:v>37165</c:v>
                </c:pt>
                <c:pt idx="9">
                  <c:v>36216</c:v>
                </c:pt>
                <c:pt idx="10">
                  <c:v>39732</c:v>
                </c:pt>
                <c:pt idx="11">
                  <c:v>40086</c:v>
                </c:pt>
                <c:pt idx="12">
                  <c:v>54854</c:v>
                </c:pt>
                <c:pt idx="13">
                  <c:v>59354</c:v>
                </c:pt>
                <c:pt idx="14">
                  <c:v>52948</c:v>
                </c:pt>
                <c:pt idx="15">
                  <c:v>45760</c:v>
                </c:pt>
                <c:pt idx="16">
                  <c:v>44883</c:v>
                </c:pt>
                <c:pt idx="17">
                  <c:v>102174</c:v>
                </c:pt>
                <c:pt idx="18">
                  <c:v>252727</c:v>
                </c:pt>
              </c:numCache>
            </c:numRef>
          </c:val>
          <c:extLst>
            <c:ext xmlns:c16="http://schemas.microsoft.com/office/drawing/2014/chart" uri="{C3380CC4-5D6E-409C-BE32-E72D297353CC}">
              <c16:uniqueId val="{00000000-92BB-0644-8815-871522D8417B}"/>
            </c:ext>
          </c:extLst>
        </c:ser>
        <c:ser>
          <c:idx val="1"/>
          <c:order val="1"/>
          <c:tx>
            <c:strRef>
              <c:f>data!$AJ$283</c:f>
              <c:strCache>
                <c:ptCount val="1"/>
                <c:pt idx="0">
                  <c:v>VIEWS</c:v>
                </c:pt>
              </c:strCache>
            </c:strRef>
          </c:tx>
          <c:invertIfNegative val="0"/>
          <c:cat>
            <c:strRef>
              <c:f>data!$A$284:$A$302</c:f>
              <c:strCache>
                <c:ptCount val="19"/>
                <c:pt idx="0">
                  <c:v>FY07</c:v>
                </c:pt>
                <c:pt idx="1">
                  <c:v>FY08</c:v>
                </c:pt>
                <c:pt idx="2">
                  <c:v>FY09</c:v>
                </c:pt>
                <c:pt idx="3">
                  <c:v>FY10</c:v>
                </c:pt>
                <c:pt idx="4">
                  <c:v>FY11</c:v>
                </c:pt>
                <c:pt idx="5">
                  <c:v>FY12</c:v>
                </c:pt>
                <c:pt idx="6">
                  <c:v>FY13</c:v>
                </c:pt>
                <c:pt idx="7">
                  <c:v>FY14</c:v>
                </c:pt>
                <c:pt idx="8">
                  <c:v>FY15</c:v>
                </c:pt>
                <c:pt idx="9">
                  <c:v>FY16</c:v>
                </c:pt>
                <c:pt idx="10">
                  <c:v>FY17</c:v>
                </c:pt>
                <c:pt idx="11">
                  <c:v>FY18</c:v>
                </c:pt>
                <c:pt idx="12">
                  <c:v>FY19</c:v>
                </c:pt>
                <c:pt idx="13">
                  <c:v>FY20</c:v>
                </c:pt>
                <c:pt idx="14">
                  <c:v>FY21</c:v>
                </c:pt>
                <c:pt idx="15">
                  <c:v>FY22</c:v>
                </c:pt>
                <c:pt idx="16">
                  <c:v>FY23</c:v>
                </c:pt>
                <c:pt idx="17">
                  <c:v>FY24</c:v>
                </c:pt>
                <c:pt idx="18">
                  <c:v>FY25</c:v>
                </c:pt>
              </c:strCache>
            </c:strRef>
          </c:cat>
          <c:val>
            <c:numRef>
              <c:f>data!$AJ$284:$AJ$302</c:f>
              <c:numCache>
                <c:formatCode>_(* #,##0_);_(* \(#,##0\);_(* "-"??_);_(@_)</c:formatCode>
                <c:ptCount val="19"/>
                <c:pt idx="0">
                  <c:v>479754</c:v>
                </c:pt>
                <c:pt idx="1">
                  <c:v>168092</c:v>
                </c:pt>
                <c:pt idx="2">
                  <c:v>111178</c:v>
                </c:pt>
                <c:pt idx="3">
                  <c:v>103047</c:v>
                </c:pt>
                <c:pt idx="4">
                  <c:v>205349</c:v>
                </c:pt>
                <c:pt idx="5">
                  <c:v>221636</c:v>
                </c:pt>
                <c:pt idx="6">
                  <c:v>206051</c:v>
                </c:pt>
                <c:pt idx="7">
                  <c:v>200215</c:v>
                </c:pt>
                <c:pt idx="8">
                  <c:v>270832</c:v>
                </c:pt>
                <c:pt idx="9">
                  <c:v>303768</c:v>
                </c:pt>
                <c:pt idx="10">
                  <c:v>343100</c:v>
                </c:pt>
                <c:pt idx="11">
                  <c:v>1354393</c:v>
                </c:pt>
                <c:pt idx="12">
                  <c:v>358241</c:v>
                </c:pt>
                <c:pt idx="13">
                  <c:v>397802</c:v>
                </c:pt>
                <c:pt idx="14">
                  <c:v>359113</c:v>
                </c:pt>
                <c:pt idx="15">
                  <c:v>282108</c:v>
                </c:pt>
                <c:pt idx="16">
                  <c:v>149671</c:v>
                </c:pt>
                <c:pt idx="17">
                  <c:v>282429</c:v>
                </c:pt>
                <c:pt idx="18">
                  <c:v>335991</c:v>
                </c:pt>
              </c:numCache>
            </c:numRef>
          </c:val>
          <c:extLst>
            <c:ext xmlns:c16="http://schemas.microsoft.com/office/drawing/2014/chart" uri="{C3380CC4-5D6E-409C-BE32-E72D297353CC}">
              <c16:uniqueId val="{00000003-92BB-0644-8815-871522D8417B}"/>
            </c:ext>
          </c:extLst>
        </c:ser>
        <c:ser>
          <c:idx val="2"/>
          <c:order val="2"/>
          <c:tx>
            <c:strRef>
              <c:f>data!$AK$283</c:f>
              <c:strCache>
                <c:ptCount val="1"/>
                <c:pt idx="0">
                  <c:v>VISITORS</c:v>
                </c:pt>
              </c:strCache>
            </c:strRef>
          </c:tx>
          <c:invertIfNegative val="0"/>
          <c:cat>
            <c:strRef>
              <c:f>data!$A$284:$A$302</c:f>
              <c:strCache>
                <c:ptCount val="19"/>
                <c:pt idx="0">
                  <c:v>FY07</c:v>
                </c:pt>
                <c:pt idx="1">
                  <c:v>FY08</c:v>
                </c:pt>
                <c:pt idx="2">
                  <c:v>FY09</c:v>
                </c:pt>
                <c:pt idx="3">
                  <c:v>FY10</c:v>
                </c:pt>
                <c:pt idx="4">
                  <c:v>FY11</c:v>
                </c:pt>
                <c:pt idx="5">
                  <c:v>FY12</c:v>
                </c:pt>
                <c:pt idx="6">
                  <c:v>FY13</c:v>
                </c:pt>
                <c:pt idx="7">
                  <c:v>FY14</c:v>
                </c:pt>
                <c:pt idx="8">
                  <c:v>FY15</c:v>
                </c:pt>
                <c:pt idx="9">
                  <c:v>FY16</c:v>
                </c:pt>
                <c:pt idx="10">
                  <c:v>FY17</c:v>
                </c:pt>
                <c:pt idx="11">
                  <c:v>FY18</c:v>
                </c:pt>
                <c:pt idx="12">
                  <c:v>FY19</c:v>
                </c:pt>
                <c:pt idx="13">
                  <c:v>FY20</c:v>
                </c:pt>
                <c:pt idx="14">
                  <c:v>FY21</c:v>
                </c:pt>
                <c:pt idx="15">
                  <c:v>FY22</c:v>
                </c:pt>
                <c:pt idx="16">
                  <c:v>FY23</c:v>
                </c:pt>
                <c:pt idx="17">
                  <c:v>FY24</c:v>
                </c:pt>
                <c:pt idx="18">
                  <c:v>FY25</c:v>
                </c:pt>
              </c:strCache>
            </c:strRef>
          </c:cat>
          <c:val>
            <c:numRef>
              <c:f>data!$AK$284:$AK$302</c:f>
              <c:numCache>
                <c:formatCode>_(* #,##0_);_(* \(#,##0\);_(* "-"??_);_(@_)</c:formatCode>
                <c:ptCount val="19"/>
                <c:pt idx="0">
                  <c:v>24748</c:v>
                </c:pt>
                <c:pt idx="1">
                  <c:v>16844</c:v>
                </c:pt>
                <c:pt idx="2">
                  <c:v>14634</c:v>
                </c:pt>
                <c:pt idx="3">
                  <c:v>14808</c:v>
                </c:pt>
                <c:pt idx="4">
                  <c:v>17425</c:v>
                </c:pt>
                <c:pt idx="5">
                  <c:v>19278</c:v>
                </c:pt>
                <c:pt idx="6">
                  <c:v>19950</c:v>
                </c:pt>
                <c:pt idx="7">
                  <c:v>21105</c:v>
                </c:pt>
                <c:pt idx="8">
                  <c:v>23399</c:v>
                </c:pt>
                <c:pt idx="9">
                  <c:v>25158</c:v>
                </c:pt>
                <c:pt idx="10">
                  <c:v>27157</c:v>
                </c:pt>
                <c:pt idx="11">
                  <c:v>27758</c:v>
                </c:pt>
                <c:pt idx="12">
                  <c:v>38963</c:v>
                </c:pt>
                <c:pt idx="13">
                  <c:v>39977</c:v>
                </c:pt>
                <c:pt idx="14">
                  <c:v>54355</c:v>
                </c:pt>
                <c:pt idx="15">
                  <c:v>36555</c:v>
                </c:pt>
                <c:pt idx="16">
                  <c:v>39072</c:v>
                </c:pt>
                <c:pt idx="17">
                  <c:v>68164</c:v>
                </c:pt>
                <c:pt idx="18">
                  <c:v>139847</c:v>
                </c:pt>
              </c:numCache>
            </c:numRef>
          </c:val>
          <c:extLst>
            <c:ext xmlns:c16="http://schemas.microsoft.com/office/drawing/2014/chart" uri="{C3380CC4-5D6E-409C-BE32-E72D297353CC}">
              <c16:uniqueId val="{00000004-92BB-0644-8815-871522D8417B}"/>
            </c:ext>
          </c:extLst>
        </c:ser>
        <c:dLbls>
          <c:showLegendKey val="0"/>
          <c:showVal val="0"/>
          <c:showCatName val="0"/>
          <c:showSerName val="0"/>
          <c:showPercent val="0"/>
          <c:showBubbleSize val="0"/>
        </c:dLbls>
        <c:gapWidth val="219"/>
        <c:overlap val="-27"/>
        <c:axId val="417117904"/>
        <c:axId val="417122800"/>
      </c:barChart>
      <c:catAx>
        <c:axId val="417117904"/>
        <c:scaling>
          <c:orientation val="minMax"/>
        </c:scaling>
        <c:delete val="0"/>
        <c:axPos val="b"/>
        <c:title>
          <c:tx>
            <c:rich>
              <a:bodyPr rot="0" spcFirstLastPara="1" vertOverflow="ellipsis" vert="horz" wrap="square" anchor="ctr" anchorCtr="1"/>
              <a:lstStyle/>
              <a:p>
                <a:pPr>
                  <a:defRPr sz="1200" b="1" i="0" u="none" strike="noStrike" kern="1200" baseline="0">
                    <a:solidFill>
                      <a:sysClr val="windowText" lastClr="000000"/>
                    </a:solidFill>
                    <a:latin typeface="+mn-lt"/>
                    <a:ea typeface="+mn-ea"/>
                    <a:cs typeface="+mn-cs"/>
                  </a:defRPr>
                </a:pPr>
                <a:r>
                  <a:rPr lang="en-US" sz="1200" b="1">
                    <a:solidFill>
                      <a:sysClr val="windowText" lastClr="000000"/>
                    </a:solidFill>
                  </a:rPr>
                  <a:t>Fiscal Year</a:t>
                </a:r>
              </a:p>
            </c:rich>
          </c:tx>
          <c:layout>
            <c:manualLayout>
              <c:xMode val="edge"/>
              <c:yMode val="edge"/>
              <c:x val="0.52015726535887796"/>
              <c:y val="0.92867232948051204"/>
            </c:manualLayout>
          </c:layout>
          <c:overlay val="0"/>
          <c:spPr>
            <a:noFill/>
            <a:ln>
              <a:noFill/>
            </a:ln>
            <a:effectLst/>
          </c:spPr>
        </c:title>
        <c:numFmt formatCode="General" sourceLinked="1"/>
        <c:majorTickMark val="out"/>
        <c:minorTickMark val="none"/>
        <c:tickLblPos val="nextTo"/>
        <c:spPr>
          <a:noFill/>
          <a:ln w="12700" cap="flat" cmpd="sng" algn="ctr">
            <a:solidFill>
              <a:schemeClr val="bg1">
                <a:lumMod val="50000"/>
              </a:schemeClr>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en-US"/>
          </a:p>
        </c:txPr>
        <c:crossAx val="417122800"/>
        <c:crosses val="autoZero"/>
        <c:auto val="1"/>
        <c:lblAlgn val="ctr"/>
        <c:lblOffset val="100"/>
        <c:noMultiLvlLbl val="0"/>
      </c:catAx>
      <c:valAx>
        <c:axId val="417122800"/>
        <c:scaling>
          <c:orientation val="minMax"/>
        </c:scaling>
        <c:delete val="0"/>
        <c:axPos val="l"/>
        <c:majorGridlines>
          <c:spPr>
            <a:ln w="9525" cap="flat" cmpd="sng" algn="ctr">
              <a:solidFill>
                <a:schemeClr val="bg1">
                  <a:lumMod val="50000"/>
                </a:schemeClr>
              </a:solidFill>
              <a:round/>
            </a:ln>
            <a:effectLst/>
          </c:spPr>
        </c:majorGridlines>
        <c:title>
          <c:tx>
            <c:rich>
              <a:bodyPr rot="-5400000" spcFirstLastPara="1" vertOverflow="ellipsis" vert="horz" wrap="square" anchor="ctr" anchorCtr="1"/>
              <a:lstStyle/>
              <a:p>
                <a:pPr>
                  <a:defRPr sz="1200" b="1" i="0" u="none" strike="noStrike" kern="1200" baseline="0">
                    <a:solidFill>
                      <a:sysClr val="windowText" lastClr="000000"/>
                    </a:solidFill>
                    <a:latin typeface="+mn-lt"/>
                    <a:ea typeface="+mn-ea"/>
                    <a:cs typeface="+mn-cs"/>
                  </a:defRPr>
                </a:pPr>
                <a:r>
                  <a:rPr lang="en-US" sz="1200" b="1">
                    <a:solidFill>
                      <a:sysClr val="windowText" lastClr="000000"/>
                    </a:solidFill>
                  </a:rPr>
                  <a:t>Number </a:t>
                </a:r>
              </a:p>
            </c:rich>
          </c:tx>
          <c:layout>
            <c:manualLayout>
              <c:xMode val="edge"/>
              <c:yMode val="edge"/>
              <c:x val="3.3999234192006499E-3"/>
              <c:y val="0.346614823753157"/>
            </c:manualLayout>
          </c:layout>
          <c:overlay val="0"/>
          <c:spPr>
            <a:noFill/>
            <a:ln>
              <a:noFill/>
            </a:ln>
            <a:effectLst/>
          </c:spPr>
        </c:title>
        <c:numFmt formatCode="#,##0" sourceLinked="0"/>
        <c:majorTickMark val="out"/>
        <c:minorTickMark val="none"/>
        <c:tickLblPos val="nextTo"/>
        <c:spPr>
          <a:noFill/>
          <a:ln>
            <a:solidFill>
              <a:schemeClr val="bg1">
                <a:lumMod val="50000"/>
              </a:schemeClr>
            </a:solid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en-US"/>
          </a:p>
        </c:txPr>
        <c:crossAx val="417117904"/>
        <c:crosses val="autoZero"/>
        <c:crossBetween val="between"/>
      </c:valAx>
      <c:spPr>
        <a:noFill/>
        <a:ln>
          <a:solidFill>
            <a:schemeClr val="bg1">
              <a:lumMod val="50000"/>
            </a:schemeClr>
          </a:solidFill>
        </a:ln>
        <a:effectLst/>
      </c:spPr>
    </c:plotArea>
    <c:legend>
      <c:legendPos val="b"/>
      <c:layout>
        <c:manualLayout>
          <c:xMode val="edge"/>
          <c:yMode val="edge"/>
          <c:x val="0.33390721991439087"/>
          <c:y val="0.15466211723534559"/>
          <c:w val="0.32764266896570593"/>
          <c:h val="0.10425529103759629"/>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bg1">
          <a:lumMod val="50000"/>
        </a:schemeClr>
      </a:solidFill>
      <a:round/>
    </a:ln>
    <a:effectLst/>
  </c:spPr>
  <c:txPr>
    <a:bodyPr/>
    <a:lstStyle/>
    <a:p>
      <a:pPr>
        <a:defRPr/>
      </a:pPr>
      <a:endParaRPr lang="en-US"/>
    </a:p>
  </c:txPr>
  <c:printSettings>
    <c:headerFooter/>
    <c:pageMargins b="0.75" l="0.7" r="0.7" t="0.75" header="0.3" footer="0.3"/>
    <c:pageSetup/>
  </c:printSettings>
  <c:userShapes r:id="rId1"/>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a:latin typeface="+mn-lt"/>
                <a:cs typeface="Arial" panose="020B0604020202020204" pitchFamily="34" charset="0"/>
              </a:defRPr>
            </a:pPr>
            <a:r>
              <a:rPr lang="en-US"/>
              <a:t>SEDAC Multi-Year Total Archive Volume Trend</a:t>
            </a:r>
          </a:p>
        </c:rich>
      </c:tx>
      <c:layout>
        <c:manualLayout>
          <c:xMode val="edge"/>
          <c:yMode val="edge"/>
          <c:x val="0.223544133657093"/>
          <c:y val="3.8412164179890997E-2"/>
        </c:manualLayout>
      </c:layout>
      <c:overlay val="0"/>
    </c:title>
    <c:autoTitleDeleted val="0"/>
    <c:plotArea>
      <c:layout>
        <c:manualLayout>
          <c:layoutTarget val="inner"/>
          <c:xMode val="edge"/>
          <c:yMode val="edge"/>
          <c:x val="0.156188786714438"/>
          <c:y val="0.18228668594254499"/>
          <c:w val="0.80487043883359"/>
          <c:h val="0.65076746334831104"/>
        </c:manualLayout>
      </c:layout>
      <c:barChart>
        <c:barDir val="col"/>
        <c:grouping val="clustered"/>
        <c:varyColors val="0"/>
        <c:ser>
          <c:idx val="0"/>
          <c:order val="0"/>
          <c:tx>
            <c:strRef>
              <c:f>data!$N$156</c:f>
              <c:strCache>
                <c:ptCount val="1"/>
                <c:pt idx="0">
                  <c:v>SEDAC</c:v>
                </c:pt>
              </c:strCache>
            </c:strRef>
          </c:tx>
          <c:spPr>
            <a:solidFill>
              <a:schemeClr val="accent2">
                <a:lumMod val="75000"/>
              </a:schemeClr>
            </a:solidFill>
          </c:spPr>
          <c:invertIfNegative val="0"/>
          <c:cat>
            <c:strRef>
              <c:f>data!$A$157:$A$174</c:f>
              <c:strCache>
                <c:ptCount val="18"/>
                <c:pt idx="0">
                  <c:v>FY08</c:v>
                </c:pt>
                <c:pt idx="1">
                  <c:v>FY09</c:v>
                </c:pt>
                <c:pt idx="2">
                  <c:v>FY10</c:v>
                </c:pt>
                <c:pt idx="3">
                  <c:v>FY11</c:v>
                </c:pt>
                <c:pt idx="4">
                  <c:v>FY12</c:v>
                </c:pt>
                <c:pt idx="5">
                  <c:v>FY13</c:v>
                </c:pt>
                <c:pt idx="6">
                  <c:v>FY14</c:v>
                </c:pt>
                <c:pt idx="7">
                  <c:v>FY15</c:v>
                </c:pt>
                <c:pt idx="8">
                  <c:v>FY16</c:v>
                </c:pt>
                <c:pt idx="9">
                  <c:v>FY17</c:v>
                </c:pt>
                <c:pt idx="10">
                  <c:v>FY18</c:v>
                </c:pt>
                <c:pt idx="11">
                  <c:v>FY19</c:v>
                </c:pt>
                <c:pt idx="12">
                  <c:v>FY20</c:v>
                </c:pt>
                <c:pt idx="13">
                  <c:v>FY21</c:v>
                </c:pt>
                <c:pt idx="14">
                  <c:v>FY22</c:v>
                </c:pt>
                <c:pt idx="15">
                  <c:v>FY23</c:v>
                </c:pt>
                <c:pt idx="16">
                  <c:v>FY24</c:v>
                </c:pt>
                <c:pt idx="17">
                  <c:v>FY25</c:v>
                </c:pt>
              </c:strCache>
            </c:strRef>
          </c:cat>
          <c:val>
            <c:numRef>
              <c:f>data!$N$157:$N$174</c:f>
              <c:numCache>
                <c:formatCode>_(* #,##0.00_);_(* \(#,##0.00\);_(* "-"??_);_(@_)</c:formatCode>
                <c:ptCount val="18"/>
                <c:pt idx="2">
                  <c:v>2.722111328125</c:v>
                </c:pt>
                <c:pt idx="3">
                  <c:v>2.8863720703125</c:v>
                </c:pt>
                <c:pt idx="4">
                  <c:v>3.3079492187500001</c:v>
                </c:pt>
                <c:pt idx="5">
                  <c:v>3.3409765624999999</c:v>
                </c:pt>
                <c:pt idx="6">
                  <c:v>3.3594172669090723</c:v>
                </c:pt>
                <c:pt idx="7">
                  <c:v>3.3659960937500002</c:v>
                </c:pt>
                <c:pt idx="8">
                  <c:v>3.7205468750000001</c:v>
                </c:pt>
                <c:pt idx="9">
                  <c:v>3.88087890625</c:v>
                </c:pt>
                <c:pt idx="10">
                  <c:v>6.3339475886841603</c:v>
                </c:pt>
                <c:pt idx="11">
                  <c:v>7.0993457031249996</c:v>
                </c:pt>
                <c:pt idx="12">
                  <c:v>9.8629492187499999</c:v>
                </c:pt>
                <c:pt idx="13">
                  <c:v>10.573564453125</c:v>
                </c:pt>
                <c:pt idx="14">
                  <c:v>12.40453125</c:v>
                </c:pt>
                <c:pt idx="15">
                  <c:v>13.897314528922754</c:v>
                </c:pt>
                <c:pt idx="16">
                  <c:v>15.885292968750001</c:v>
                </c:pt>
                <c:pt idx="17">
                  <c:v>15.893154296875</c:v>
                </c:pt>
              </c:numCache>
            </c:numRef>
          </c:val>
          <c:extLst>
            <c:ext xmlns:c16="http://schemas.microsoft.com/office/drawing/2014/chart" uri="{C3380CC4-5D6E-409C-BE32-E72D297353CC}">
              <c16:uniqueId val="{00000000-A068-F945-80C1-1C4C55384639}"/>
            </c:ext>
          </c:extLst>
        </c:ser>
        <c:dLbls>
          <c:showLegendKey val="0"/>
          <c:showVal val="0"/>
          <c:showCatName val="0"/>
          <c:showSerName val="0"/>
          <c:showPercent val="0"/>
          <c:showBubbleSize val="0"/>
        </c:dLbls>
        <c:gapWidth val="150"/>
        <c:axId val="417117360"/>
        <c:axId val="417118992"/>
      </c:barChart>
      <c:catAx>
        <c:axId val="417117360"/>
        <c:scaling>
          <c:orientation val="minMax"/>
        </c:scaling>
        <c:delete val="0"/>
        <c:axPos val="b"/>
        <c:title>
          <c:tx>
            <c:rich>
              <a:bodyPr/>
              <a:lstStyle/>
              <a:p>
                <a:pPr>
                  <a:defRPr sz="1200"/>
                </a:pPr>
                <a:r>
                  <a:rPr lang="en-US" sz="1200"/>
                  <a:t>Fiscal Year</a:t>
                </a:r>
              </a:p>
            </c:rich>
          </c:tx>
          <c:layout>
            <c:manualLayout>
              <c:xMode val="edge"/>
              <c:yMode val="edge"/>
              <c:x val="0.49999567596515698"/>
              <c:y val="0.91411120752953801"/>
            </c:manualLayout>
          </c:layout>
          <c:overlay val="0"/>
        </c:title>
        <c:numFmt formatCode="General" sourceLinked="0"/>
        <c:majorTickMark val="out"/>
        <c:minorTickMark val="none"/>
        <c:tickLblPos val="nextTo"/>
        <c:txPr>
          <a:bodyPr/>
          <a:lstStyle/>
          <a:p>
            <a:pPr>
              <a:defRPr sz="1200" b="0" baseline="0">
                <a:latin typeface="+mn-lt"/>
                <a:cs typeface="Arial" panose="020B0604020202020204" pitchFamily="34" charset="0"/>
              </a:defRPr>
            </a:pPr>
            <a:endParaRPr lang="en-US"/>
          </a:p>
        </c:txPr>
        <c:crossAx val="417118992"/>
        <c:crosses val="autoZero"/>
        <c:auto val="1"/>
        <c:lblAlgn val="ctr"/>
        <c:lblOffset val="100"/>
        <c:noMultiLvlLbl val="0"/>
      </c:catAx>
      <c:valAx>
        <c:axId val="417118992"/>
        <c:scaling>
          <c:orientation val="minMax"/>
        </c:scaling>
        <c:delete val="0"/>
        <c:axPos val="l"/>
        <c:majorGridlines/>
        <c:title>
          <c:tx>
            <c:rich>
              <a:bodyPr/>
              <a:lstStyle/>
              <a:p>
                <a:pPr>
                  <a:defRPr sz="1200"/>
                </a:pPr>
                <a:r>
                  <a:rPr lang="en-US" sz="1200"/>
                  <a:t>Volume (TB)</a:t>
                </a:r>
              </a:p>
            </c:rich>
          </c:tx>
          <c:layout>
            <c:manualLayout>
              <c:xMode val="edge"/>
              <c:yMode val="edge"/>
              <c:x val="1.62849872773537E-2"/>
              <c:y val="0.34790157257870402"/>
            </c:manualLayout>
          </c:layout>
          <c:overlay val="0"/>
        </c:title>
        <c:numFmt formatCode="#,##0.0" sourceLinked="0"/>
        <c:majorTickMark val="out"/>
        <c:minorTickMark val="none"/>
        <c:tickLblPos val="nextTo"/>
        <c:spPr>
          <a:ln>
            <a:solidFill>
              <a:schemeClr val="bg1">
                <a:lumMod val="50000"/>
              </a:schemeClr>
            </a:solidFill>
          </a:ln>
        </c:spPr>
        <c:txPr>
          <a:bodyPr/>
          <a:lstStyle/>
          <a:p>
            <a:pPr>
              <a:defRPr sz="1200">
                <a:latin typeface="+mn-lt"/>
                <a:cs typeface="Arial" panose="020B0604020202020204" pitchFamily="34" charset="0"/>
              </a:defRPr>
            </a:pPr>
            <a:endParaRPr lang="en-US"/>
          </a:p>
        </c:txPr>
        <c:crossAx val="417117360"/>
        <c:crosses val="autoZero"/>
        <c:crossBetween val="between"/>
      </c:valAx>
      <c:spPr>
        <a:ln>
          <a:solidFill>
            <a:schemeClr val="bg1">
              <a:lumMod val="50000"/>
            </a:schemeClr>
          </a:solidFill>
          <a:prstDash val="solid"/>
        </a:ln>
      </c:spPr>
    </c:plotArea>
    <c:plotVisOnly val="1"/>
    <c:dispBlanksAs val="gap"/>
    <c:showDLblsOverMax val="0"/>
  </c:chart>
  <c:printSettings>
    <c:headerFooter/>
    <c:pageMargins b="0.750000000000004" l="0.70000000000000095" r="0.70000000000000095" t="0.750000000000004" header="0.3" footer="0.3"/>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494971901634679"/>
          <c:y val="0.14901950216041901"/>
          <c:w val="0.85421339560929577"/>
          <c:h val="0.68891197860574704"/>
        </c:manualLayout>
      </c:layout>
      <c:lineChart>
        <c:grouping val="standard"/>
        <c:varyColors val="0"/>
        <c:ser>
          <c:idx val="0"/>
          <c:order val="0"/>
          <c:tx>
            <c:strRef>
              <c:f>data!$N$176</c:f>
              <c:strCache>
                <c:ptCount val="1"/>
                <c:pt idx="0">
                  <c:v>SEDAC</c:v>
                </c:pt>
              </c:strCache>
            </c:strRef>
          </c:tx>
          <c:marker>
            <c:symbol val="none"/>
          </c:marker>
          <c:cat>
            <c:strRef>
              <c:f>data!$A$177:$A$191</c:f>
              <c:strCache>
                <c:ptCount val="15"/>
                <c:pt idx="0">
                  <c:v>FY08</c:v>
                </c:pt>
                <c:pt idx="1">
                  <c:v>FY09</c:v>
                </c:pt>
                <c:pt idx="2">
                  <c:v>FY10</c:v>
                </c:pt>
                <c:pt idx="3">
                  <c:v>FY11</c:v>
                </c:pt>
                <c:pt idx="4">
                  <c:v>FY12</c:v>
                </c:pt>
                <c:pt idx="5">
                  <c:v>FY13</c:v>
                </c:pt>
                <c:pt idx="6">
                  <c:v>FY14</c:v>
                </c:pt>
                <c:pt idx="7">
                  <c:v>FY15</c:v>
                </c:pt>
                <c:pt idx="8">
                  <c:v>FY16</c:v>
                </c:pt>
                <c:pt idx="9">
                  <c:v>FY17</c:v>
                </c:pt>
                <c:pt idx="10">
                  <c:v>FY18</c:v>
                </c:pt>
                <c:pt idx="11">
                  <c:v>FY19</c:v>
                </c:pt>
                <c:pt idx="12">
                  <c:v>FY20</c:v>
                </c:pt>
                <c:pt idx="13">
                  <c:v>FY21</c:v>
                </c:pt>
                <c:pt idx="14">
                  <c:v>FY22</c:v>
                </c:pt>
              </c:strCache>
            </c:strRef>
          </c:cat>
          <c:val>
            <c:numRef>
              <c:f>data!$N$177:$N$191</c:f>
              <c:numCache>
                <c:formatCode>0.0%</c:formatCode>
                <c:ptCount val="15"/>
                <c:pt idx="1">
                  <c:v>8.0167851693126846E-2</c:v>
                </c:pt>
                <c:pt idx="2">
                  <c:v>0.27430263839031882</c:v>
                </c:pt>
                <c:pt idx="3">
                  <c:v>0.23747127802868234</c:v>
                </c:pt>
                <c:pt idx="4">
                  <c:v>0.32130439995204413</c:v>
                </c:pt>
                <c:pt idx="5">
                  <c:v>0.44425840829096597</c:v>
                </c:pt>
                <c:pt idx="6">
                  <c:v>0.53636570770725156</c:v>
                </c:pt>
                <c:pt idx="7">
                  <c:v>0.66219541877383237</c:v>
                </c:pt>
                <c:pt idx="8">
                  <c:v>0.64436276862734343</c:v>
                </c:pt>
                <c:pt idx="9">
                  <c:v>0.55262922038846141</c:v>
                </c:pt>
                <c:pt idx="10">
                  <c:v>0.24505321765842303</c:v>
                </c:pt>
                <c:pt idx="11">
                  <c:v>0.22780461142034869</c:v>
                </c:pt>
              </c:numCache>
            </c:numRef>
          </c:val>
          <c:smooth val="0"/>
          <c:extLst>
            <c:ext xmlns:c16="http://schemas.microsoft.com/office/drawing/2014/chart" uri="{C3380CC4-5D6E-409C-BE32-E72D297353CC}">
              <c16:uniqueId val="{00000000-3C0C-F04C-8CDC-F2219574EF13}"/>
            </c:ext>
          </c:extLst>
        </c:ser>
        <c:dLbls>
          <c:showLegendKey val="0"/>
          <c:showVal val="0"/>
          <c:showCatName val="0"/>
          <c:showSerName val="0"/>
          <c:showPercent val="0"/>
          <c:showBubbleSize val="0"/>
        </c:dLbls>
        <c:smooth val="0"/>
        <c:axId val="417129328"/>
        <c:axId val="417116272"/>
      </c:lineChart>
      <c:catAx>
        <c:axId val="417129328"/>
        <c:scaling>
          <c:orientation val="minMax"/>
        </c:scaling>
        <c:delete val="0"/>
        <c:axPos val="b"/>
        <c:title>
          <c:tx>
            <c:rich>
              <a:bodyPr/>
              <a:lstStyle/>
              <a:p>
                <a:pPr>
                  <a:defRPr sz="1200"/>
                </a:pPr>
                <a:r>
                  <a:rPr lang="en-US" sz="1200"/>
                  <a:t>Fiscal Year</a:t>
                </a:r>
              </a:p>
            </c:rich>
          </c:tx>
          <c:layout>
            <c:manualLayout>
              <c:xMode val="edge"/>
              <c:yMode val="edge"/>
              <c:x val="0.48422756091902203"/>
              <c:y val="0.91945592070692705"/>
            </c:manualLayout>
          </c:layout>
          <c:overlay val="0"/>
        </c:title>
        <c:numFmt formatCode="General" sourceLinked="0"/>
        <c:majorTickMark val="out"/>
        <c:minorTickMark val="none"/>
        <c:tickLblPos val="nextTo"/>
        <c:txPr>
          <a:bodyPr/>
          <a:lstStyle/>
          <a:p>
            <a:pPr>
              <a:defRPr sz="1200" b="0" baseline="0">
                <a:latin typeface="+mn-lt"/>
                <a:cs typeface="Arial" panose="020B0604020202020204" pitchFamily="34" charset="0"/>
              </a:defRPr>
            </a:pPr>
            <a:endParaRPr lang="en-US"/>
          </a:p>
        </c:txPr>
        <c:crossAx val="417116272"/>
        <c:crosses val="autoZero"/>
        <c:auto val="1"/>
        <c:lblAlgn val="ctr"/>
        <c:lblOffset val="100"/>
        <c:noMultiLvlLbl val="0"/>
      </c:catAx>
      <c:valAx>
        <c:axId val="417116272"/>
        <c:scaling>
          <c:orientation val="minMax"/>
        </c:scaling>
        <c:delete val="0"/>
        <c:axPos val="l"/>
        <c:majorGridlines/>
        <c:title>
          <c:tx>
            <c:rich>
              <a:bodyPr/>
              <a:lstStyle/>
              <a:p>
                <a:pPr>
                  <a:defRPr sz="1200"/>
                </a:pPr>
                <a:r>
                  <a:rPr lang="en-US" sz="1200"/>
                  <a:t>Percentage</a:t>
                </a:r>
              </a:p>
            </c:rich>
          </c:tx>
          <c:layout>
            <c:manualLayout>
              <c:xMode val="edge"/>
              <c:yMode val="edge"/>
              <c:x val="4.8473441747445998E-3"/>
              <c:y val="0.36539536980201598"/>
            </c:manualLayout>
          </c:layout>
          <c:overlay val="0"/>
        </c:title>
        <c:numFmt formatCode="0%" sourceLinked="0"/>
        <c:majorTickMark val="out"/>
        <c:minorTickMark val="none"/>
        <c:tickLblPos val="nextTo"/>
        <c:txPr>
          <a:bodyPr/>
          <a:lstStyle/>
          <a:p>
            <a:pPr>
              <a:defRPr sz="1200">
                <a:solidFill>
                  <a:sysClr val="windowText" lastClr="000000"/>
                </a:solidFill>
                <a:latin typeface="+mn-lt"/>
                <a:cs typeface="Arial" panose="020B0604020202020204" pitchFamily="34" charset="0"/>
              </a:defRPr>
            </a:pPr>
            <a:endParaRPr lang="en-US"/>
          </a:p>
        </c:txPr>
        <c:crossAx val="417129328"/>
        <c:crosses val="autoZero"/>
        <c:crossBetween val="between"/>
      </c:valAx>
      <c:spPr>
        <a:ln>
          <a:solidFill>
            <a:schemeClr val="bg1">
              <a:lumMod val="50000"/>
            </a:schemeClr>
          </a:solidFill>
          <a:prstDash val="solid"/>
        </a:ln>
      </c:spPr>
    </c:plotArea>
    <c:plotVisOnly val="1"/>
    <c:dispBlanksAs val="gap"/>
    <c:showDLblsOverMax val="0"/>
  </c:chart>
  <c:printSettings>
    <c:headerFooter/>
    <c:pageMargins b="0.750000000000004" l="0.70000000000000095" r="0.70000000000000095" t="0.750000000000004" header="0.3" footer="0.3"/>
    <c:pageSetup/>
  </c:printSettings>
  <c:userShapes r:id="rId1"/>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a:latin typeface="+mn-lt"/>
                <a:cs typeface="Arial" panose="020B0604020202020204" pitchFamily="34" charset="0"/>
              </a:defRPr>
            </a:pPr>
            <a:r>
              <a:rPr lang="en-US"/>
              <a:t>SEDAC Multi-Year Product Distribution Trend</a:t>
            </a:r>
          </a:p>
        </c:rich>
      </c:tx>
      <c:layout>
        <c:manualLayout>
          <c:xMode val="edge"/>
          <c:yMode val="edge"/>
          <c:x val="0.219374642226661"/>
          <c:y val="4.2874122560153598E-2"/>
        </c:manualLayout>
      </c:layout>
      <c:overlay val="0"/>
    </c:title>
    <c:autoTitleDeleted val="0"/>
    <c:plotArea>
      <c:layout>
        <c:manualLayout>
          <c:layoutTarget val="inner"/>
          <c:xMode val="edge"/>
          <c:yMode val="edge"/>
          <c:x val="0.113107657173634"/>
          <c:y val="0.18225294239347301"/>
          <c:w val="0.85726272307204099"/>
          <c:h val="0.65529307668611403"/>
        </c:manualLayout>
      </c:layout>
      <c:barChart>
        <c:barDir val="col"/>
        <c:grouping val="clustered"/>
        <c:varyColors val="0"/>
        <c:ser>
          <c:idx val="0"/>
          <c:order val="0"/>
          <c:tx>
            <c:strRef>
              <c:f>Summary_data!$P$21</c:f>
              <c:strCache>
                <c:ptCount val="1"/>
                <c:pt idx="0">
                  <c:v>SEDAC</c:v>
                </c:pt>
              </c:strCache>
            </c:strRef>
          </c:tx>
          <c:invertIfNegative val="0"/>
          <c:cat>
            <c:strRef>
              <c:f>Summary_data!$C$22:$C$40</c:f>
              <c:strCache>
                <c:ptCount val="19"/>
                <c:pt idx="0">
                  <c:v>FY07</c:v>
                </c:pt>
                <c:pt idx="1">
                  <c:v>FY08</c:v>
                </c:pt>
                <c:pt idx="2">
                  <c:v>FY09</c:v>
                </c:pt>
                <c:pt idx="3">
                  <c:v>FY10</c:v>
                </c:pt>
                <c:pt idx="4">
                  <c:v>FY11</c:v>
                </c:pt>
                <c:pt idx="5">
                  <c:v>FY12</c:v>
                </c:pt>
                <c:pt idx="6">
                  <c:v>FY13</c:v>
                </c:pt>
                <c:pt idx="7">
                  <c:v>FY14</c:v>
                </c:pt>
                <c:pt idx="8">
                  <c:v>FY15</c:v>
                </c:pt>
                <c:pt idx="9">
                  <c:v>FY16</c:v>
                </c:pt>
                <c:pt idx="10">
                  <c:v>FY17</c:v>
                </c:pt>
                <c:pt idx="11">
                  <c:v>FY18</c:v>
                </c:pt>
                <c:pt idx="12">
                  <c:v>FY19</c:v>
                </c:pt>
                <c:pt idx="13">
                  <c:v>FY20</c:v>
                </c:pt>
                <c:pt idx="14">
                  <c:v>FY21</c:v>
                </c:pt>
                <c:pt idx="15">
                  <c:v>FY22</c:v>
                </c:pt>
                <c:pt idx="16">
                  <c:v>FY23</c:v>
                </c:pt>
                <c:pt idx="17">
                  <c:v>FY24</c:v>
                </c:pt>
                <c:pt idx="18">
                  <c:v>FY25</c:v>
                </c:pt>
              </c:strCache>
            </c:strRef>
          </c:cat>
          <c:val>
            <c:numRef>
              <c:f>Summary_data!$P$22:$P$40</c:f>
              <c:numCache>
                <c:formatCode>_(* #,##0.0_);_(* \(#,##0.0\);_(* "-"??_);_(@_)</c:formatCode>
                <c:ptCount val="19"/>
                <c:pt idx="0">
                  <c:v>0</c:v>
                </c:pt>
                <c:pt idx="1">
                  <c:v>7.4131000000000002E-2</c:v>
                </c:pt>
                <c:pt idx="2">
                  <c:v>0.49062</c:v>
                </c:pt>
                <c:pt idx="3">
                  <c:v>3.5663849999999999</c:v>
                </c:pt>
                <c:pt idx="4">
                  <c:v>4.1586509999999999</c:v>
                </c:pt>
                <c:pt idx="5">
                  <c:v>1.5993269999999999</c:v>
                </c:pt>
                <c:pt idx="6">
                  <c:v>4.6872220000000002</c:v>
                </c:pt>
                <c:pt idx="7">
                  <c:v>6.3922129999999999</c:v>
                </c:pt>
                <c:pt idx="8">
                  <c:v>7.6517379999999999</c:v>
                </c:pt>
                <c:pt idx="9">
                  <c:v>5.7873919999999996</c:v>
                </c:pt>
                <c:pt idx="10">
                  <c:v>3.5554549999999998</c:v>
                </c:pt>
                <c:pt idx="11">
                  <c:v>0.89733200000000002</c:v>
                </c:pt>
                <c:pt idx="12">
                  <c:v>1.3879220000000001</c:v>
                </c:pt>
                <c:pt idx="13">
                  <c:v>1.322913</c:v>
                </c:pt>
                <c:pt idx="14">
                  <c:v>1.268106</c:v>
                </c:pt>
                <c:pt idx="15">
                  <c:v>1.049212</c:v>
                </c:pt>
                <c:pt idx="16">
                  <c:v>1.039612</c:v>
                </c:pt>
                <c:pt idx="17">
                  <c:v>1.758284</c:v>
                </c:pt>
                <c:pt idx="18">
                  <c:v>1.294082</c:v>
                </c:pt>
              </c:numCache>
            </c:numRef>
          </c:val>
          <c:extLst>
            <c:ext xmlns:c16="http://schemas.microsoft.com/office/drawing/2014/chart" uri="{C3380CC4-5D6E-409C-BE32-E72D297353CC}">
              <c16:uniqueId val="{00000000-9B28-3644-A213-705A523C7AD2}"/>
            </c:ext>
          </c:extLst>
        </c:ser>
        <c:dLbls>
          <c:showLegendKey val="0"/>
          <c:showVal val="0"/>
          <c:showCatName val="0"/>
          <c:showSerName val="0"/>
          <c:showPercent val="0"/>
          <c:showBubbleSize val="0"/>
        </c:dLbls>
        <c:gapWidth val="150"/>
        <c:axId val="417119536"/>
        <c:axId val="417130416"/>
      </c:barChart>
      <c:catAx>
        <c:axId val="417119536"/>
        <c:scaling>
          <c:orientation val="minMax"/>
        </c:scaling>
        <c:delete val="0"/>
        <c:axPos val="b"/>
        <c:title>
          <c:tx>
            <c:rich>
              <a:bodyPr/>
              <a:lstStyle/>
              <a:p>
                <a:pPr>
                  <a:defRPr sz="1200"/>
                </a:pPr>
                <a:r>
                  <a:rPr lang="en-US" sz="1200"/>
                  <a:t>Fiscal Year</a:t>
                </a:r>
              </a:p>
            </c:rich>
          </c:tx>
          <c:layout>
            <c:manualLayout>
              <c:xMode val="edge"/>
              <c:yMode val="edge"/>
              <c:x val="0.51269424232162897"/>
              <c:y val="0.91856945601153805"/>
            </c:manualLayout>
          </c:layout>
          <c:overlay val="0"/>
        </c:title>
        <c:numFmt formatCode="General" sourceLinked="0"/>
        <c:majorTickMark val="out"/>
        <c:minorTickMark val="none"/>
        <c:tickLblPos val="nextTo"/>
        <c:txPr>
          <a:bodyPr/>
          <a:lstStyle/>
          <a:p>
            <a:pPr>
              <a:defRPr sz="1200" b="0" baseline="0">
                <a:latin typeface="+mn-lt"/>
                <a:cs typeface="Arial" panose="020B0604020202020204" pitchFamily="34" charset="0"/>
              </a:defRPr>
            </a:pPr>
            <a:endParaRPr lang="en-US"/>
          </a:p>
        </c:txPr>
        <c:crossAx val="417130416"/>
        <c:crosses val="autoZero"/>
        <c:auto val="1"/>
        <c:lblAlgn val="ctr"/>
        <c:lblOffset val="100"/>
        <c:noMultiLvlLbl val="0"/>
      </c:catAx>
      <c:valAx>
        <c:axId val="417130416"/>
        <c:scaling>
          <c:orientation val="minMax"/>
        </c:scaling>
        <c:delete val="0"/>
        <c:axPos val="l"/>
        <c:majorGridlines/>
        <c:title>
          <c:tx>
            <c:rich>
              <a:bodyPr/>
              <a:lstStyle/>
              <a:p>
                <a:pPr>
                  <a:defRPr sz="1200"/>
                </a:pPr>
                <a:r>
                  <a:rPr lang="en-US" sz="1200"/>
                  <a:t>Product Distributed (Millions)</a:t>
                </a:r>
              </a:p>
            </c:rich>
          </c:tx>
          <c:layout>
            <c:manualLayout>
              <c:xMode val="edge"/>
              <c:yMode val="edge"/>
              <c:x val="1.6285028493567399E-2"/>
              <c:y val="0.17328868888728299"/>
            </c:manualLayout>
          </c:layout>
          <c:overlay val="0"/>
        </c:title>
        <c:numFmt formatCode="#,##0" sourceLinked="0"/>
        <c:majorTickMark val="out"/>
        <c:minorTickMark val="none"/>
        <c:tickLblPos val="nextTo"/>
        <c:spPr>
          <a:ln>
            <a:solidFill>
              <a:schemeClr val="bg1">
                <a:lumMod val="50000"/>
              </a:schemeClr>
            </a:solidFill>
          </a:ln>
        </c:spPr>
        <c:txPr>
          <a:bodyPr/>
          <a:lstStyle/>
          <a:p>
            <a:pPr>
              <a:defRPr sz="1200">
                <a:latin typeface="+mn-lt"/>
                <a:cs typeface="Arial" panose="020B0604020202020204" pitchFamily="34" charset="0"/>
              </a:defRPr>
            </a:pPr>
            <a:endParaRPr lang="en-US"/>
          </a:p>
        </c:txPr>
        <c:crossAx val="417119536"/>
        <c:crosses val="autoZero"/>
        <c:crossBetween val="between"/>
      </c:valAx>
      <c:spPr>
        <a:ln>
          <a:solidFill>
            <a:schemeClr val="bg1">
              <a:lumMod val="50000"/>
            </a:schemeClr>
          </a:solidFill>
          <a:prstDash val="solid"/>
        </a:ln>
      </c:spPr>
    </c:plotArea>
    <c:plotVisOnly val="1"/>
    <c:dispBlanksAs val="gap"/>
    <c:showDLblsOverMax val="0"/>
  </c:chart>
  <c:printSettings>
    <c:headerFooter/>
    <c:pageMargins b="0.750000000000004" l="0.70000000000000095" r="0.70000000000000095" t="0.750000000000004" header="0.3" footer="0.3"/>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109760399738599"/>
          <c:y val="0.143607581541664"/>
          <c:w val="0.79186881127911657"/>
          <c:h val="0.70576857582792596"/>
        </c:manualLayout>
      </c:layout>
      <c:barChart>
        <c:barDir val="col"/>
        <c:grouping val="clustered"/>
        <c:varyColors val="0"/>
        <c:ser>
          <c:idx val="0"/>
          <c:order val="0"/>
          <c:tx>
            <c:strRef>
              <c:f>data!$AL$283</c:f>
              <c:strCache>
                <c:ptCount val="1"/>
                <c:pt idx="0">
                  <c:v>VISITS</c:v>
                </c:pt>
              </c:strCache>
            </c:strRef>
          </c:tx>
          <c:invertIfNegative val="0"/>
          <c:cat>
            <c:strRef>
              <c:f>data!$A$284:$A$302</c:f>
              <c:strCache>
                <c:ptCount val="19"/>
                <c:pt idx="0">
                  <c:v>FY07</c:v>
                </c:pt>
                <c:pt idx="1">
                  <c:v>FY08</c:v>
                </c:pt>
                <c:pt idx="2">
                  <c:v>FY09</c:v>
                </c:pt>
                <c:pt idx="3">
                  <c:v>FY10</c:v>
                </c:pt>
                <c:pt idx="4">
                  <c:v>FY11</c:v>
                </c:pt>
                <c:pt idx="5">
                  <c:v>FY12</c:v>
                </c:pt>
                <c:pt idx="6">
                  <c:v>FY13</c:v>
                </c:pt>
                <c:pt idx="7">
                  <c:v>FY14</c:v>
                </c:pt>
                <c:pt idx="8">
                  <c:v>FY15</c:v>
                </c:pt>
                <c:pt idx="9">
                  <c:v>FY16</c:v>
                </c:pt>
                <c:pt idx="10">
                  <c:v>FY17</c:v>
                </c:pt>
                <c:pt idx="11">
                  <c:v>FY18</c:v>
                </c:pt>
                <c:pt idx="12">
                  <c:v>FY19</c:v>
                </c:pt>
                <c:pt idx="13">
                  <c:v>FY20</c:v>
                </c:pt>
                <c:pt idx="14">
                  <c:v>FY21</c:v>
                </c:pt>
                <c:pt idx="15">
                  <c:v>FY22</c:v>
                </c:pt>
                <c:pt idx="16">
                  <c:v>FY23</c:v>
                </c:pt>
                <c:pt idx="17">
                  <c:v>FY24</c:v>
                </c:pt>
                <c:pt idx="18">
                  <c:v>FY25</c:v>
                </c:pt>
              </c:strCache>
            </c:strRef>
          </c:cat>
          <c:val>
            <c:numRef>
              <c:f>data!$AL$284:$AL$302</c:f>
              <c:numCache>
                <c:formatCode>_(* #,##0_);_(* \(#,##0\);_(* "-"??_);_(@_)</c:formatCode>
                <c:ptCount val="19"/>
                <c:pt idx="2">
                  <c:v>155635</c:v>
                </c:pt>
                <c:pt idx="3">
                  <c:v>142290</c:v>
                </c:pt>
                <c:pt idx="4">
                  <c:v>119831</c:v>
                </c:pt>
                <c:pt idx="5">
                  <c:v>127843</c:v>
                </c:pt>
                <c:pt idx="6">
                  <c:v>106840</c:v>
                </c:pt>
                <c:pt idx="7">
                  <c:v>107864</c:v>
                </c:pt>
                <c:pt idx="8">
                  <c:v>89576</c:v>
                </c:pt>
                <c:pt idx="9">
                  <c:v>88746</c:v>
                </c:pt>
                <c:pt idx="10">
                  <c:v>94980</c:v>
                </c:pt>
                <c:pt idx="11">
                  <c:v>103800</c:v>
                </c:pt>
                <c:pt idx="12">
                  <c:v>116716</c:v>
                </c:pt>
                <c:pt idx="13">
                  <c:v>132816</c:v>
                </c:pt>
                <c:pt idx="14">
                  <c:v>136290</c:v>
                </c:pt>
                <c:pt idx="15">
                  <c:v>134251</c:v>
                </c:pt>
                <c:pt idx="16">
                  <c:v>130094</c:v>
                </c:pt>
                <c:pt idx="17">
                  <c:v>126873</c:v>
                </c:pt>
                <c:pt idx="18">
                  <c:v>122313</c:v>
                </c:pt>
              </c:numCache>
            </c:numRef>
          </c:val>
          <c:extLst>
            <c:ext xmlns:c16="http://schemas.microsoft.com/office/drawing/2014/chart" uri="{C3380CC4-5D6E-409C-BE32-E72D297353CC}">
              <c16:uniqueId val="{00000000-0F4C-6748-939D-79BA2D2BAB9E}"/>
            </c:ext>
          </c:extLst>
        </c:ser>
        <c:ser>
          <c:idx val="1"/>
          <c:order val="1"/>
          <c:tx>
            <c:strRef>
              <c:f>data!$AM$283</c:f>
              <c:strCache>
                <c:ptCount val="1"/>
                <c:pt idx="0">
                  <c:v>VIEWS</c:v>
                </c:pt>
              </c:strCache>
            </c:strRef>
          </c:tx>
          <c:invertIfNegative val="0"/>
          <c:cat>
            <c:strRef>
              <c:f>data!$A$284:$A$302</c:f>
              <c:strCache>
                <c:ptCount val="19"/>
                <c:pt idx="0">
                  <c:v>FY07</c:v>
                </c:pt>
                <c:pt idx="1">
                  <c:v>FY08</c:v>
                </c:pt>
                <c:pt idx="2">
                  <c:v>FY09</c:v>
                </c:pt>
                <c:pt idx="3">
                  <c:v>FY10</c:v>
                </c:pt>
                <c:pt idx="4">
                  <c:v>FY11</c:v>
                </c:pt>
                <c:pt idx="5">
                  <c:v>FY12</c:v>
                </c:pt>
                <c:pt idx="6">
                  <c:v>FY13</c:v>
                </c:pt>
                <c:pt idx="7">
                  <c:v>FY14</c:v>
                </c:pt>
                <c:pt idx="8">
                  <c:v>FY15</c:v>
                </c:pt>
                <c:pt idx="9">
                  <c:v>FY16</c:v>
                </c:pt>
                <c:pt idx="10">
                  <c:v>FY17</c:v>
                </c:pt>
                <c:pt idx="11">
                  <c:v>FY18</c:v>
                </c:pt>
                <c:pt idx="12">
                  <c:v>FY19</c:v>
                </c:pt>
                <c:pt idx="13">
                  <c:v>FY20</c:v>
                </c:pt>
                <c:pt idx="14">
                  <c:v>FY21</c:v>
                </c:pt>
                <c:pt idx="15">
                  <c:v>FY22</c:v>
                </c:pt>
                <c:pt idx="16">
                  <c:v>FY23</c:v>
                </c:pt>
                <c:pt idx="17">
                  <c:v>FY24</c:v>
                </c:pt>
                <c:pt idx="18">
                  <c:v>FY25</c:v>
                </c:pt>
              </c:strCache>
            </c:strRef>
          </c:cat>
          <c:val>
            <c:numRef>
              <c:f>data!$AM$284:$AM$302</c:f>
              <c:numCache>
                <c:formatCode>_(* #,##0_);_(* \(#,##0\);_(* "-"??_);_(@_)</c:formatCode>
                <c:ptCount val="19"/>
                <c:pt idx="2">
                  <c:v>921255</c:v>
                </c:pt>
                <c:pt idx="3">
                  <c:v>801448</c:v>
                </c:pt>
                <c:pt idx="4">
                  <c:v>714477</c:v>
                </c:pt>
                <c:pt idx="5">
                  <c:v>813099</c:v>
                </c:pt>
                <c:pt idx="6">
                  <c:v>917822</c:v>
                </c:pt>
                <c:pt idx="7">
                  <c:v>895322</c:v>
                </c:pt>
                <c:pt idx="8">
                  <c:v>938136</c:v>
                </c:pt>
                <c:pt idx="9">
                  <c:v>893022</c:v>
                </c:pt>
                <c:pt idx="10">
                  <c:v>923167</c:v>
                </c:pt>
                <c:pt idx="11">
                  <c:v>1788088</c:v>
                </c:pt>
                <c:pt idx="12">
                  <c:v>1207528</c:v>
                </c:pt>
                <c:pt idx="13">
                  <c:v>1290401</c:v>
                </c:pt>
                <c:pt idx="14">
                  <c:v>1208305</c:v>
                </c:pt>
                <c:pt idx="15">
                  <c:v>1172964</c:v>
                </c:pt>
                <c:pt idx="16">
                  <c:v>566565</c:v>
                </c:pt>
                <c:pt idx="17">
                  <c:v>604406</c:v>
                </c:pt>
                <c:pt idx="18">
                  <c:v>212122</c:v>
                </c:pt>
              </c:numCache>
            </c:numRef>
          </c:val>
          <c:extLst>
            <c:ext xmlns:c16="http://schemas.microsoft.com/office/drawing/2014/chart" uri="{C3380CC4-5D6E-409C-BE32-E72D297353CC}">
              <c16:uniqueId val="{00000003-0F4C-6748-939D-79BA2D2BAB9E}"/>
            </c:ext>
          </c:extLst>
        </c:ser>
        <c:ser>
          <c:idx val="2"/>
          <c:order val="2"/>
          <c:tx>
            <c:strRef>
              <c:f>data!$AN$283</c:f>
              <c:strCache>
                <c:ptCount val="1"/>
                <c:pt idx="0">
                  <c:v>VISITORS</c:v>
                </c:pt>
              </c:strCache>
            </c:strRef>
          </c:tx>
          <c:invertIfNegative val="0"/>
          <c:cat>
            <c:strRef>
              <c:f>data!$A$284:$A$302</c:f>
              <c:strCache>
                <c:ptCount val="19"/>
                <c:pt idx="0">
                  <c:v>FY07</c:v>
                </c:pt>
                <c:pt idx="1">
                  <c:v>FY08</c:v>
                </c:pt>
                <c:pt idx="2">
                  <c:v>FY09</c:v>
                </c:pt>
                <c:pt idx="3">
                  <c:v>FY10</c:v>
                </c:pt>
                <c:pt idx="4">
                  <c:v>FY11</c:v>
                </c:pt>
                <c:pt idx="5">
                  <c:v>FY12</c:v>
                </c:pt>
                <c:pt idx="6">
                  <c:v>FY13</c:v>
                </c:pt>
                <c:pt idx="7">
                  <c:v>FY14</c:v>
                </c:pt>
                <c:pt idx="8">
                  <c:v>FY15</c:v>
                </c:pt>
                <c:pt idx="9">
                  <c:v>FY16</c:v>
                </c:pt>
                <c:pt idx="10">
                  <c:v>FY17</c:v>
                </c:pt>
                <c:pt idx="11">
                  <c:v>FY18</c:v>
                </c:pt>
                <c:pt idx="12">
                  <c:v>FY19</c:v>
                </c:pt>
                <c:pt idx="13">
                  <c:v>FY20</c:v>
                </c:pt>
                <c:pt idx="14">
                  <c:v>FY21</c:v>
                </c:pt>
                <c:pt idx="15">
                  <c:v>FY22</c:v>
                </c:pt>
                <c:pt idx="16">
                  <c:v>FY23</c:v>
                </c:pt>
                <c:pt idx="17">
                  <c:v>FY24</c:v>
                </c:pt>
                <c:pt idx="18">
                  <c:v>FY25</c:v>
                </c:pt>
              </c:strCache>
            </c:strRef>
          </c:cat>
          <c:val>
            <c:numRef>
              <c:f>data!$AN$284:$AN$302</c:f>
              <c:numCache>
                <c:formatCode>_(* #,##0_);_(* \(#,##0\);_(* "-"??_);_(@_)</c:formatCode>
                <c:ptCount val="19"/>
                <c:pt idx="2">
                  <c:v>123204</c:v>
                </c:pt>
                <c:pt idx="3">
                  <c:v>117837</c:v>
                </c:pt>
                <c:pt idx="4">
                  <c:v>100968</c:v>
                </c:pt>
                <c:pt idx="5">
                  <c:v>107713</c:v>
                </c:pt>
                <c:pt idx="6">
                  <c:v>87904</c:v>
                </c:pt>
                <c:pt idx="7">
                  <c:v>90311</c:v>
                </c:pt>
                <c:pt idx="8">
                  <c:v>73954</c:v>
                </c:pt>
                <c:pt idx="9">
                  <c:v>72917</c:v>
                </c:pt>
                <c:pt idx="10">
                  <c:v>78103</c:v>
                </c:pt>
                <c:pt idx="11">
                  <c:v>83337</c:v>
                </c:pt>
                <c:pt idx="12">
                  <c:v>92528</c:v>
                </c:pt>
                <c:pt idx="13">
                  <c:v>107117</c:v>
                </c:pt>
                <c:pt idx="14">
                  <c:v>114834</c:v>
                </c:pt>
                <c:pt idx="15">
                  <c:v>104694</c:v>
                </c:pt>
                <c:pt idx="16">
                  <c:v>107713</c:v>
                </c:pt>
                <c:pt idx="17">
                  <c:v>82182</c:v>
                </c:pt>
                <c:pt idx="18">
                  <c:v>82660</c:v>
                </c:pt>
              </c:numCache>
            </c:numRef>
          </c:val>
          <c:extLst>
            <c:ext xmlns:c16="http://schemas.microsoft.com/office/drawing/2014/chart" uri="{C3380CC4-5D6E-409C-BE32-E72D297353CC}">
              <c16:uniqueId val="{00000004-0F4C-6748-939D-79BA2D2BAB9E}"/>
            </c:ext>
          </c:extLst>
        </c:ser>
        <c:dLbls>
          <c:showLegendKey val="0"/>
          <c:showVal val="0"/>
          <c:showCatName val="0"/>
          <c:showSerName val="0"/>
          <c:showPercent val="0"/>
          <c:showBubbleSize val="0"/>
        </c:dLbls>
        <c:gapWidth val="219"/>
        <c:overlap val="-27"/>
        <c:axId val="417120080"/>
        <c:axId val="417120624"/>
      </c:barChart>
      <c:catAx>
        <c:axId val="417120080"/>
        <c:scaling>
          <c:orientation val="minMax"/>
        </c:scaling>
        <c:delete val="0"/>
        <c:axPos val="b"/>
        <c:title>
          <c:tx>
            <c:rich>
              <a:bodyPr rot="0" spcFirstLastPara="1" vertOverflow="ellipsis" vert="horz" wrap="square" anchor="ctr" anchorCtr="1"/>
              <a:lstStyle/>
              <a:p>
                <a:pPr>
                  <a:defRPr sz="1200" b="1" i="0" u="none" strike="noStrike" kern="1200" baseline="0">
                    <a:solidFill>
                      <a:sysClr val="windowText" lastClr="000000"/>
                    </a:solidFill>
                    <a:latin typeface="+mn-lt"/>
                    <a:ea typeface="+mn-ea"/>
                    <a:cs typeface="+mn-cs"/>
                  </a:defRPr>
                </a:pPr>
                <a:r>
                  <a:rPr lang="en-US" sz="1200" b="1">
                    <a:solidFill>
                      <a:sysClr val="windowText" lastClr="000000"/>
                    </a:solidFill>
                  </a:rPr>
                  <a:t>Fiscal Year</a:t>
                </a:r>
              </a:p>
            </c:rich>
          </c:tx>
          <c:layout>
            <c:manualLayout>
              <c:xMode val="edge"/>
              <c:yMode val="edge"/>
              <c:x val="0.52015726535887796"/>
              <c:y val="0.92867232948051204"/>
            </c:manualLayout>
          </c:layout>
          <c:overlay val="0"/>
          <c:spPr>
            <a:noFill/>
            <a:ln>
              <a:noFill/>
            </a:ln>
            <a:effectLst/>
          </c:spPr>
        </c:title>
        <c:numFmt formatCode="General" sourceLinked="1"/>
        <c:majorTickMark val="out"/>
        <c:minorTickMark val="none"/>
        <c:tickLblPos val="nextTo"/>
        <c:spPr>
          <a:noFill/>
          <a:ln w="12700" cap="flat" cmpd="sng" algn="ctr">
            <a:solidFill>
              <a:schemeClr val="bg1">
                <a:lumMod val="50000"/>
              </a:schemeClr>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en-US"/>
          </a:p>
        </c:txPr>
        <c:crossAx val="417120624"/>
        <c:crosses val="autoZero"/>
        <c:auto val="1"/>
        <c:lblAlgn val="ctr"/>
        <c:lblOffset val="100"/>
        <c:noMultiLvlLbl val="0"/>
      </c:catAx>
      <c:valAx>
        <c:axId val="417120624"/>
        <c:scaling>
          <c:orientation val="minMax"/>
        </c:scaling>
        <c:delete val="0"/>
        <c:axPos val="l"/>
        <c:majorGridlines>
          <c:spPr>
            <a:ln w="9525" cap="flat" cmpd="sng" algn="ctr">
              <a:solidFill>
                <a:schemeClr val="bg1">
                  <a:lumMod val="50000"/>
                </a:schemeClr>
              </a:solidFill>
              <a:round/>
            </a:ln>
            <a:effectLst/>
          </c:spPr>
        </c:majorGridlines>
        <c:title>
          <c:tx>
            <c:rich>
              <a:bodyPr rot="-5400000" spcFirstLastPara="1" vertOverflow="ellipsis" vert="horz" wrap="square" anchor="ctr" anchorCtr="1"/>
              <a:lstStyle/>
              <a:p>
                <a:pPr>
                  <a:defRPr sz="1200" b="1" i="0" u="none" strike="noStrike" kern="1200" baseline="0">
                    <a:solidFill>
                      <a:sysClr val="windowText" lastClr="000000"/>
                    </a:solidFill>
                    <a:latin typeface="+mn-lt"/>
                    <a:ea typeface="+mn-ea"/>
                    <a:cs typeface="+mn-cs"/>
                  </a:defRPr>
                </a:pPr>
                <a:r>
                  <a:rPr lang="en-US" sz="1200" b="1">
                    <a:solidFill>
                      <a:sysClr val="windowText" lastClr="000000"/>
                    </a:solidFill>
                  </a:rPr>
                  <a:t>Number </a:t>
                </a:r>
              </a:p>
            </c:rich>
          </c:tx>
          <c:layout>
            <c:manualLayout>
              <c:xMode val="edge"/>
              <c:yMode val="edge"/>
              <c:x val="3.3999234192006499E-3"/>
              <c:y val="0.346614823753157"/>
            </c:manualLayout>
          </c:layout>
          <c:overlay val="0"/>
          <c:spPr>
            <a:noFill/>
            <a:ln>
              <a:noFill/>
            </a:ln>
            <a:effectLst/>
          </c:spPr>
        </c:title>
        <c:numFmt formatCode="#,##0" sourceLinked="0"/>
        <c:majorTickMark val="out"/>
        <c:minorTickMark val="none"/>
        <c:tickLblPos val="nextTo"/>
        <c:spPr>
          <a:noFill/>
          <a:ln>
            <a:solidFill>
              <a:schemeClr val="bg1">
                <a:lumMod val="50000"/>
              </a:schemeClr>
            </a:solid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en-US"/>
          </a:p>
        </c:txPr>
        <c:crossAx val="417120080"/>
        <c:crosses val="autoZero"/>
        <c:crossBetween val="between"/>
      </c:valAx>
      <c:spPr>
        <a:noFill/>
        <a:ln>
          <a:solidFill>
            <a:schemeClr val="bg1">
              <a:lumMod val="50000"/>
            </a:schemeClr>
          </a:solidFill>
        </a:ln>
        <a:effectLst/>
      </c:spPr>
    </c:plotArea>
    <c:legend>
      <c:legendPos val="b"/>
      <c:layout>
        <c:manualLayout>
          <c:xMode val="edge"/>
          <c:yMode val="edge"/>
          <c:x val="0.36936434307551413"/>
          <c:y val="0.1457732283464567"/>
          <c:w val="0.32772510614530426"/>
          <c:h val="0.10425533277868218"/>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bg1">
          <a:lumMod val="50000"/>
        </a:schemeClr>
      </a:solidFill>
      <a:round/>
    </a:ln>
    <a:effectLst/>
  </c:spPr>
  <c:txPr>
    <a:bodyPr/>
    <a:lstStyle/>
    <a:p>
      <a:pPr>
        <a:defRPr/>
      </a:pPr>
      <a:endParaRPr lang="en-US"/>
    </a:p>
  </c:txPr>
  <c:printSettings>
    <c:headerFooter/>
    <c:pageMargins b="0.75" l="0.7" r="0.7" t="0.75" header="0.3" footer="0.3"/>
    <c:pageSetup/>
  </c:printSettings>
  <c:userShapes r:id="rId1"/>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6188786714438"/>
          <c:y val="0.18228668594254499"/>
          <c:w val="0.80487043883359"/>
          <c:h val="0.65076746334831104"/>
        </c:manualLayout>
      </c:layout>
      <c:barChart>
        <c:barDir val="col"/>
        <c:grouping val="clustered"/>
        <c:varyColors val="0"/>
        <c:ser>
          <c:idx val="0"/>
          <c:order val="0"/>
          <c:tx>
            <c:strRef>
              <c:f>L_data!$B$159</c:f>
              <c:strCache>
                <c:ptCount val="1"/>
                <c:pt idx="0">
                  <c:v>one week</c:v>
                </c:pt>
              </c:strCache>
            </c:strRef>
          </c:tx>
          <c:invertIfNegative val="0"/>
          <c:cat>
            <c:strRef>
              <c:f>L_data!$A$160:$A$175</c:f>
              <c:strCache>
                <c:ptCount val="16"/>
                <c:pt idx="0">
                  <c:v>FY10</c:v>
                </c:pt>
                <c:pt idx="1">
                  <c:v>FY11</c:v>
                </c:pt>
                <c:pt idx="2">
                  <c:v>FY12</c:v>
                </c:pt>
                <c:pt idx="3">
                  <c:v>FY13</c:v>
                </c:pt>
                <c:pt idx="4">
                  <c:v>FY14</c:v>
                </c:pt>
                <c:pt idx="5">
                  <c:v>FY15</c:v>
                </c:pt>
                <c:pt idx="6">
                  <c:v>FY16</c:v>
                </c:pt>
                <c:pt idx="7">
                  <c:v>FY17</c:v>
                </c:pt>
                <c:pt idx="8">
                  <c:v>FY18</c:v>
                </c:pt>
                <c:pt idx="9">
                  <c:v>FY19</c:v>
                </c:pt>
                <c:pt idx="10">
                  <c:v>FY20</c:v>
                </c:pt>
                <c:pt idx="11">
                  <c:v>FY21</c:v>
                </c:pt>
                <c:pt idx="12">
                  <c:v>FY22</c:v>
                </c:pt>
                <c:pt idx="13">
                  <c:v>FY23</c:v>
                </c:pt>
                <c:pt idx="14">
                  <c:v>FY24</c:v>
                </c:pt>
                <c:pt idx="15">
                  <c:v>FY25</c:v>
                </c:pt>
              </c:strCache>
            </c:strRef>
          </c:cat>
          <c:val>
            <c:numRef>
              <c:f>L_data!$B$160:$B$175</c:f>
              <c:numCache>
                <c:formatCode>_(* #,##0.00_);_(* \(#,##0.00\);_(* "-"??_);_(@_)</c:formatCode>
                <c:ptCount val="16"/>
                <c:pt idx="0">
                  <c:v>0</c:v>
                </c:pt>
                <c:pt idx="1">
                  <c:v>0</c:v>
                </c:pt>
                <c:pt idx="2">
                  <c:v>15.204008052518342</c:v>
                </c:pt>
                <c:pt idx="3">
                  <c:v>15.701408315805288</c:v>
                </c:pt>
                <c:pt idx="4">
                  <c:v>16.356479679987981</c:v>
                </c:pt>
                <c:pt idx="5">
                  <c:v>16.326743895168047</c:v>
                </c:pt>
                <c:pt idx="6">
                  <c:v>20.760576923076922</c:v>
                </c:pt>
                <c:pt idx="7">
                  <c:v>21.101483846799091</c:v>
                </c:pt>
                <c:pt idx="8">
                  <c:v>18.820522293356575</c:v>
                </c:pt>
                <c:pt idx="9">
                  <c:v>36.055543475983356</c:v>
                </c:pt>
                <c:pt idx="10">
                  <c:v>47.155829052723981</c:v>
                </c:pt>
                <c:pt idx="11">
                  <c:v>50.53</c:v>
                </c:pt>
                <c:pt idx="12">
                  <c:v>40.376923076923077</c:v>
                </c:pt>
                <c:pt idx="13">
                  <c:v>50.393854008085306</c:v>
                </c:pt>
                <c:pt idx="14">
                  <c:v>49.962037514784441</c:v>
                </c:pt>
                <c:pt idx="15">
                  <c:v>61.479274909808545</c:v>
                </c:pt>
              </c:numCache>
            </c:numRef>
          </c:val>
          <c:extLst>
            <c:ext xmlns:c16="http://schemas.microsoft.com/office/drawing/2014/chart" uri="{C3380CC4-5D6E-409C-BE32-E72D297353CC}">
              <c16:uniqueId val="{00000000-6427-934B-95EC-E2B348C79EFF}"/>
            </c:ext>
          </c:extLst>
        </c:ser>
        <c:dLbls>
          <c:showLegendKey val="0"/>
          <c:showVal val="0"/>
          <c:showCatName val="0"/>
          <c:showSerName val="0"/>
          <c:showPercent val="0"/>
          <c:showBubbleSize val="0"/>
        </c:dLbls>
        <c:gapWidth val="150"/>
        <c:axId val="417116816"/>
        <c:axId val="417126064"/>
      </c:barChart>
      <c:catAx>
        <c:axId val="417116816"/>
        <c:scaling>
          <c:orientation val="minMax"/>
        </c:scaling>
        <c:delete val="0"/>
        <c:axPos val="b"/>
        <c:title>
          <c:tx>
            <c:rich>
              <a:bodyPr/>
              <a:lstStyle/>
              <a:p>
                <a:pPr>
                  <a:defRPr sz="1200"/>
                </a:pPr>
                <a:r>
                  <a:rPr lang="en-US" sz="1200"/>
                  <a:t>Fiscal Year</a:t>
                </a:r>
              </a:p>
            </c:rich>
          </c:tx>
          <c:layout>
            <c:manualLayout>
              <c:xMode val="edge"/>
              <c:yMode val="edge"/>
              <c:x val="0.49999567596515698"/>
              <c:y val="0.91411120752953801"/>
            </c:manualLayout>
          </c:layout>
          <c:overlay val="0"/>
        </c:title>
        <c:numFmt formatCode="General" sourceLinked="0"/>
        <c:majorTickMark val="out"/>
        <c:minorTickMark val="none"/>
        <c:tickLblPos val="nextTo"/>
        <c:txPr>
          <a:bodyPr/>
          <a:lstStyle/>
          <a:p>
            <a:pPr>
              <a:defRPr sz="1200" b="0" baseline="0">
                <a:latin typeface="+mn-lt"/>
                <a:cs typeface="Arial" panose="020B0604020202020204" pitchFamily="34" charset="0"/>
              </a:defRPr>
            </a:pPr>
            <a:endParaRPr lang="en-US"/>
          </a:p>
        </c:txPr>
        <c:crossAx val="417126064"/>
        <c:crosses val="autoZero"/>
        <c:auto val="1"/>
        <c:lblAlgn val="ctr"/>
        <c:lblOffset val="100"/>
        <c:noMultiLvlLbl val="0"/>
      </c:catAx>
      <c:valAx>
        <c:axId val="417126064"/>
        <c:scaling>
          <c:orientation val="minMax"/>
        </c:scaling>
        <c:delete val="0"/>
        <c:axPos val="l"/>
        <c:majorGridlines/>
        <c:title>
          <c:tx>
            <c:rich>
              <a:bodyPr/>
              <a:lstStyle/>
              <a:p>
                <a:pPr>
                  <a:defRPr sz="1200"/>
                </a:pPr>
                <a:r>
                  <a:rPr lang="en-US" sz="1200"/>
                  <a:t>Weekly Average Volume (TB)</a:t>
                </a:r>
              </a:p>
            </c:rich>
          </c:tx>
          <c:layout>
            <c:manualLayout>
              <c:xMode val="edge"/>
              <c:yMode val="edge"/>
              <c:x val="4.7572208652556257E-2"/>
              <c:y val="0.13770651789584146"/>
            </c:manualLayout>
          </c:layout>
          <c:overlay val="0"/>
        </c:title>
        <c:numFmt formatCode="#,##0" sourceLinked="0"/>
        <c:majorTickMark val="out"/>
        <c:minorTickMark val="none"/>
        <c:tickLblPos val="nextTo"/>
        <c:spPr>
          <a:ln>
            <a:solidFill>
              <a:schemeClr val="bg1">
                <a:lumMod val="50000"/>
              </a:schemeClr>
            </a:solidFill>
          </a:ln>
        </c:spPr>
        <c:txPr>
          <a:bodyPr/>
          <a:lstStyle/>
          <a:p>
            <a:pPr>
              <a:defRPr sz="1200">
                <a:latin typeface="+mn-lt"/>
                <a:cs typeface="Arial" panose="020B0604020202020204" pitchFamily="34" charset="0"/>
              </a:defRPr>
            </a:pPr>
            <a:endParaRPr lang="en-US"/>
          </a:p>
        </c:txPr>
        <c:crossAx val="417116816"/>
        <c:crosses val="autoZero"/>
        <c:crossBetween val="between"/>
      </c:valAx>
      <c:spPr>
        <a:ln>
          <a:solidFill>
            <a:schemeClr val="bg1">
              <a:lumMod val="50000"/>
            </a:schemeClr>
          </a:solidFill>
          <a:prstDash val="solid"/>
        </a:ln>
      </c:spPr>
    </c:plotArea>
    <c:plotVisOnly val="1"/>
    <c:dispBlanksAs val="gap"/>
    <c:showDLblsOverMax val="0"/>
  </c:chart>
  <c:printSettings>
    <c:headerFooter/>
    <c:pageMargins b="0.750000000000004" l="0.70000000000000095" r="0.70000000000000095" t="0.750000000000004" header="0.3" footer="0.3"/>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a:latin typeface="+mn-lt"/>
                <a:cs typeface="Arial" panose="020B0604020202020204" pitchFamily="34" charset="0"/>
              </a:defRPr>
            </a:pPr>
            <a:r>
              <a:rPr lang="en-US"/>
              <a:t>ASF Multi-Year Total Archive Volume Trend</a:t>
            </a:r>
          </a:p>
        </c:rich>
      </c:tx>
      <c:layout>
        <c:manualLayout>
          <c:xMode val="edge"/>
          <c:yMode val="edge"/>
          <c:x val="0.223544133657093"/>
          <c:y val="3.8412164179890997E-2"/>
        </c:manualLayout>
      </c:layout>
      <c:overlay val="0"/>
    </c:title>
    <c:autoTitleDeleted val="0"/>
    <c:plotArea>
      <c:layout>
        <c:manualLayout>
          <c:layoutTarget val="inner"/>
          <c:xMode val="edge"/>
          <c:yMode val="edge"/>
          <c:x val="0.156188786714438"/>
          <c:y val="0.18228668594254499"/>
          <c:w val="0.80487043883359"/>
          <c:h val="0.65076746334831104"/>
        </c:manualLayout>
      </c:layout>
      <c:barChart>
        <c:barDir val="col"/>
        <c:grouping val="clustered"/>
        <c:varyColors val="0"/>
        <c:ser>
          <c:idx val="0"/>
          <c:order val="0"/>
          <c:tx>
            <c:strRef>
              <c:f>data!$C$156</c:f>
              <c:strCache>
                <c:ptCount val="1"/>
                <c:pt idx="0">
                  <c:v>ASF</c:v>
                </c:pt>
              </c:strCache>
            </c:strRef>
          </c:tx>
          <c:spPr>
            <a:solidFill>
              <a:schemeClr val="accent2">
                <a:lumMod val="75000"/>
              </a:schemeClr>
            </a:solidFill>
          </c:spPr>
          <c:invertIfNegative val="0"/>
          <c:cat>
            <c:strRef>
              <c:f>data!$A$157:$A$174</c:f>
              <c:strCache>
                <c:ptCount val="18"/>
                <c:pt idx="0">
                  <c:v>FY08</c:v>
                </c:pt>
                <c:pt idx="1">
                  <c:v>FY09</c:v>
                </c:pt>
                <c:pt idx="2">
                  <c:v>FY10</c:v>
                </c:pt>
                <c:pt idx="3">
                  <c:v>FY11</c:v>
                </c:pt>
                <c:pt idx="4">
                  <c:v>FY12</c:v>
                </c:pt>
                <c:pt idx="5">
                  <c:v>FY13</c:v>
                </c:pt>
                <c:pt idx="6">
                  <c:v>FY14</c:v>
                </c:pt>
                <c:pt idx="7">
                  <c:v>FY15</c:v>
                </c:pt>
                <c:pt idx="8">
                  <c:v>FY16</c:v>
                </c:pt>
                <c:pt idx="9">
                  <c:v>FY17</c:v>
                </c:pt>
                <c:pt idx="10">
                  <c:v>FY18</c:v>
                </c:pt>
                <c:pt idx="11">
                  <c:v>FY19</c:v>
                </c:pt>
                <c:pt idx="12">
                  <c:v>FY20</c:v>
                </c:pt>
                <c:pt idx="13">
                  <c:v>FY21</c:v>
                </c:pt>
                <c:pt idx="14">
                  <c:v>FY22</c:v>
                </c:pt>
                <c:pt idx="15">
                  <c:v>FY23</c:v>
                </c:pt>
                <c:pt idx="16">
                  <c:v>FY24</c:v>
                </c:pt>
                <c:pt idx="17">
                  <c:v>FY25</c:v>
                </c:pt>
              </c:strCache>
            </c:strRef>
          </c:cat>
          <c:val>
            <c:numRef>
              <c:f>data!$C$157:$C$174</c:f>
              <c:numCache>
                <c:formatCode>_(* #,##0.00_);_(* \(#,##0.00\);_(* "-"??_);_(@_)</c:formatCode>
                <c:ptCount val="18"/>
                <c:pt idx="0">
                  <c:v>255.6104873046875</c:v>
                </c:pt>
                <c:pt idx="1">
                  <c:v>376.68700000000001</c:v>
                </c:pt>
                <c:pt idx="2">
                  <c:v>448.4706982421875</c:v>
                </c:pt>
                <c:pt idx="3">
                  <c:v>1801.57</c:v>
                </c:pt>
                <c:pt idx="4">
                  <c:v>2654.908486328125</c:v>
                </c:pt>
                <c:pt idx="5">
                  <c:v>3597.0542089843748</c:v>
                </c:pt>
                <c:pt idx="6">
                  <c:v>1486.062054989158</c:v>
                </c:pt>
                <c:pt idx="7">
                  <c:v>2136.66015625</c:v>
                </c:pt>
                <c:pt idx="8">
                  <c:v>2656.0791894531249</c:v>
                </c:pt>
                <c:pt idx="9">
                  <c:v>5230.0020340442661</c:v>
                </c:pt>
                <c:pt idx="10">
                  <c:v>6550.8367006601075</c:v>
                </c:pt>
                <c:pt idx="11">
                  <c:v>9657.3361523437507</c:v>
                </c:pt>
                <c:pt idx="12">
                  <c:v>12023.376552734375</c:v>
                </c:pt>
                <c:pt idx="13">
                  <c:v>17521.439999999999</c:v>
                </c:pt>
                <c:pt idx="14">
                  <c:v>16138.00728</c:v>
                </c:pt>
                <c:pt idx="15">
                  <c:v>23736.578129381018</c:v>
                </c:pt>
                <c:pt idx="16">
                  <c:v>34127.025937500002</c:v>
                </c:pt>
                <c:pt idx="17">
                  <c:v>43735.495693359378</c:v>
                </c:pt>
              </c:numCache>
            </c:numRef>
          </c:val>
          <c:extLst>
            <c:ext xmlns:c16="http://schemas.microsoft.com/office/drawing/2014/chart" uri="{C3380CC4-5D6E-409C-BE32-E72D297353CC}">
              <c16:uniqueId val="{00000000-0B84-5A44-A381-802F91CEBFFB}"/>
            </c:ext>
          </c:extLst>
        </c:ser>
        <c:dLbls>
          <c:showLegendKey val="0"/>
          <c:showVal val="0"/>
          <c:showCatName val="0"/>
          <c:showSerName val="0"/>
          <c:showPercent val="0"/>
          <c:showBubbleSize val="0"/>
        </c:dLbls>
        <c:gapWidth val="150"/>
        <c:axId val="361727712"/>
        <c:axId val="361717920"/>
      </c:barChart>
      <c:catAx>
        <c:axId val="361727712"/>
        <c:scaling>
          <c:orientation val="minMax"/>
        </c:scaling>
        <c:delete val="0"/>
        <c:axPos val="b"/>
        <c:title>
          <c:tx>
            <c:rich>
              <a:bodyPr/>
              <a:lstStyle/>
              <a:p>
                <a:pPr>
                  <a:defRPr sz="1200"/>
                </a:pPr>
                <a:r>
                  <a:rPr lang="en-US" sz="1200"/>
                  <a:t>Fiscal Year</a:t>
                </a:r>
              </a:p>
            </c:rich>
          </c:tx>
          <c:layout>
            <c:manualLayout>
              <c:xMode val="edge"/>
              <c:yMode val="edge"/>
              <c:x val="0.49999567596515698"/>
              <c:y val="0.91411120752953801"/>
            </c:manualLayout>
          </c:layout>
          <c:overlay val="0"/>
        </c:title>
        <c:numFmt formatCode="General" sourceLinked="0"/>
        <c:majorTickMark val="out"/>
        <c:minorTickMark val="none"/>
        <c:tickLblPos val="nextTo"/>
        <c:txPr>
          <a:bodyPr/>
          <a:lstStyle/>
          <a:p>
            <a:pPr>
              <a:defRPr sz="1200" b="0" baseline="0">
                <a:latin typeface="+mn-lt"/>
                <a:cs typeface="Arial" panose="020B0604020202020204" pitchFamily="34" charset="0"/>
              </a:defRPr>
            </a:pPr>
            <a:endParaRPr lang="en-US"/>
          </a:p>
        </c:txPr>
        <c:crossAx val="361717920"/>
        <c:crosses val="autoZero"/>
        <c:auto val="1"/>
        <c:lblAlgn val="ctr"/>
        <c:lblOffset val="100"/>
        <c:noMultiLvlLbl val="0"/>
      </c:catAx>
      <c:valAx>
        <c:axId val="361717920"/>
        <c:scaling>
          <c:orientation val="minMax"/>
        </c:scaling>
        <c:delete val="0"/>
        <c:axPos val="l"/>
        <c:majorGridlines/>
        <c:title>
          <c:tx>
            <c:rich>
              <a:bodyPr/>
              <a:lstStyle/>
              <a:p>
                <a:pPr>
                  <a:defRPr sz="1200"/>
                </a:pPr>
                <a:r>
                  <a:rPr lang="en-US" sz="1200"/>
                  <a:t>Volume (TB)</a:t>
                </a:r>
              </a:p>
            </c:rich>
          </c:tx>
          <c:layout>
            <c:manualLayout>
              <c:xMode val="edge"/>
              <c:yMode val="edge"/>
              <c:x val="1.62849872773537E-2"/>
              <c:y val="0.34790157257870402"/>
            </c:manualLayout>
          </c:layout>
          <c:overlay val="0"/>
        </c:title>
        <c:numFmt formatCode="#,##0" sourceLinked="0"/>
        <c:majorTickMark val="out"/>
        <c:minorTickMark val="none"/>
        <c:tickLblPos val="nextTo"/>
        <c:spPr>
          <a:ln>
            <a:solidFill>
              <a:schemeClr val="bg1">
                <a:lumMod val="50000"/>
              </a:schemeClr>
            </a:solidFill>
          </a:ln>
        </c:spPr>
        <c:txPr>
          <a:bodyPr/>
          <a:lstStyle/>
          <a:p>
            <a:pPr>
              <a:defRPr sz="1200">
                <a:latin typeface="+mn-lt"/>
                <a:cs typeface="Arial" panose="020B0604020202020204" pitchFamily="34" charset="0"/>
              </a:defRPr>
            </a:pPr>
            <a:endParaRPr lang="en-US"/>
          </a:p>
        </c:txPr>
        <c:crossAx val="361727712"/>
        <c:crosses val="autoZero"/>
        <c:crossBetween val="between"/>
      </c:valAx>
      <c:spPr>
        <a:ln>
          <a:solidFill>
            <a:schemeClr val="bg1">
              <a:lumMod val="50000"/>
            </a:schemeClr>
          </a:solidFill>
          <a:prstDash val="solid"/>
        </a:ln>
      </c:spPr>
    </c:plotArea>
    <c:plotVisOnly val="1"/>
    <c:dispBlanksAs val="gap"/>
    <c:showDLblsOverMax val="0"/>
  </c:chart>
  <c:printSettings>
    <c:headerFooter/>
    <c:pageMargins b="0.750000000000004" l="0.70000000000000095" r="0.70000000000000095" t="0.750000000000004" header="0.3" footer="0.3"/>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755535193121098"/>
          <c:y val="0.14901950216041901"/>
          <c:w val="0.84160770982518418"/>
          <c:h val="0.68891197860574704"/>
        </c:manualLayout>
      </c:layout>
      <c:barChart>
        <c:barDir val="col"/>
        <c:grouping val="clustered"/>
        <c:varyColors val="0"/>
        <c:ser>
          <c:idx val="0"/>
          <c:order val="0"/>
          <c:spPr>
            <a:solidFill>
              <a:schemeClr val="accent6">
                <a:lumMod val="75000"/>
              </a:schemeClr>
            </a:solidFill>
          </c:spPr>
          <c:invertIfNegative val="0"/>
          <c:cat>
            <c:strRef>
              <c:f>L_Summary_data!$B$27:$B$42</c:f>
              <c:strCache>
                <c:ptCount val="16"/>
                <c:pt idx="0">
                  <c:v>FY10</c:v>
                </c:pt>
                <c:pt idx="1">
                  <c:v>FY11</c:v>
                </c:pt>
                <c:pt idx="2">
                  <c:v>FY12</c:v>
                </c:pt>
                <c:pt idx="3">
                  <c:v>FY13</c:v>
                </c:pt>
                <c:pt idx="4">
                  <c:v>FY14</c:v>
                </c:pt>
                <c:pt idx="5">
                  <c:v>FY15</c:v>
                </c:pt>
                <c:pt idx="6">
                  <c:v>FY16</c:v>
                </c:pt>
                <c:pt idx="7">
                  <c:v>FY17</c:v>
                </c:pt>
                <c:pt idx="8">
                  <c:v>FY18</c:v>
                </c:pt>
                <c:pt idx="9">
                  <c:v>FY19</c:v>
                </c:pt>
                <c:pt idx="10">
                  <c:v>FY20</c:v>
                </c:pt>
                <c:pt idx="11">
                  <c:v>FY21</c:v>
                </c:pt>
                <c:pt idx="12">
                  <c:v>FY22</c:v>
                </c:pt>
                <c:pt idx="13">
                  <c:v>FY23</c:v>
                </c:pt>
                <c:pt idx="14">
                  <c:v>FY24</c:v>
                </c:pt>
                <c:pt idx="15">
                  <c:v>FY25</c:v>
                </c:pt>
              </c:strCache>
            </c:strRef>
          </c:cat>
          <c:val>
            <c:numRef>
              <c:f>L_Summary_data!$C$27:$C$42</c:f>
              <c:numCache>
                <c:formatCode>_(* #,##0.00_);_(* \(#,##0.00\);_(* "-"??_);_(@_)</c:formatCode>
                <c:ptCount val="16"/>
                <c:pt idx="0">
                  <c:v>239.357451171875</c:v>
                </c:pt>
                <c:pt idx="1">
                  <c:v>475.84899414062494</c:v>
                </c:pt>
                <c:pt idx="2">
                  <c:v>833.81921875</c:v>
                </c:pt>
                <c:pt idx="3">
                  <c:v>856.63578125000004</c:v>
                </c:pt>
                <c:pt idx="4">
                  <c:v>891.62641206054695</c:v>
                </c:pt>
                <c:pt idx="5">
                  <c:v>786.36682507619889</c:v>
                </c:pt>
                <c:pt idx="6" formatCode="_(* #,##0.0_);_(* \(#,##0.0\);_(* &quot;-&quot;??_);_(@_)">
                  <c:v>763.04</c:v>
                </c:pt>
                <c:pt idx="7" formatCode="_(* #,##0.0_);_(* \(#,##0.0\);_(* &quot;-&quot;??_);_(@_)">
                  <c:v>889.13361675249939</c:v>
                </c:pt>
                <c:pt idx="8" formatCode="_(* #,##0.0_);_(* \(#,##0.0\);_(* &quot;-&quot;??_);_(@_)">
                  <c:v>874.06199730241701</c:v>
                </c:pt>
                <c:pt idx="9" formatCode="_(* #,##0.0_);_(* \(#,##0.0\);_(* &quot;-&quot;??_);_(@_)">
                  <c:v>842.38937777741194</c:v>
                </c:pt>
                <c:pt idx="10">
                  <c:v>954.39680382275969</c:v>
                </c:pt>
                <c:pt idx="11">
                  <c:v>2287.2350702581357</c:v>
                </c:pt>
                <c:pt idx="12">
                  <c:v>2099.6</c:v>
                </c:pt>
                <c:pt idx="13">
                  <c:v>2627.6795304215912</c:v>
                </c:pt>
                <c:pt idx="14">
                  <c:v>2918.4</c:v>
                </c:pt>
                <c:pt idx="15">
                  <c:v>2047.6007590201248</c:v>
                </c:pt>
              </c:numCache>
            </c:numRef>
          </c:val>
          <c:extLst>
            <c:ext xmlns:c16="http://schemas.microsoft.com/office/drawing/2014/chart" uri="{C3380CC4-5D6E-409C-BE32-E72D297353CC}">
              <c16:uniqueId val="{00000000-9AD3-E94F-B6A7-6B8A4FE78A81}"/>
            </c:ext>
          </c:extLst>
        </c:ser>
        <c:dLbls>
          <c:showLegendKey val="0"/>
          <c:showVal val="0"/>
          <c:showCatName val="0"/>
          <c:showSerName val="0"/>
          <c:showPercent val="0"/>
          <c:showBubbleSize val="0"/>
        </c:dLbls>
        <c:gapWidth val="150"/>
        <c:axId val="417121168"/>
        <c:axId val="417122256"/>
      </c:barChart>
      <c:catAx>
        <c:axId val="417121168"/>
        <c:scaling>
          <c:orientation val="minMax"/>
        </c:scaling>
        <c:delete val="0"/>
        <c:axPos val="b"/>
        <c:title>
          <c:tx>
            <c:rich>
              <a:bodyPr/>
              <a:lstStyle/>
              <a:p>
                <a:pPr>
                  <a:defRPr sz="1200"/>
                </a:pPr>
                <a:r>
                  <a:rPr lang="en-US" sz="1200"/>
                  <a:t>Fiscal Year</a:t>
                </a:r>
              </a:p>
            </c:rich>
          </c:tx>
          <c:layout>
            <c:manualLayout>
              <c:xMode val="edge"/>
              <c:yMode val="edge"/>
              <c:x val="0.48422756091902203"/>
              <c:y val="0.91945592070692705"/>
            </c:manualLayout>
          </c:layout>
          <c:overlay val="0"/>
        </c:title>
        <c:numFmt formatCode="General" sourceLinked="0"/>
        <c:majorTickMark val="out"/>
        <c:minorTickMark val="none"/>
        <c:tickLblPos val="nextTo"/>
        <c:txPr>
          <a:bodyPr/>
          <a:lstStyle/>
          <a:p>
            <a:pPr>
              <a:defRPr sz="1200" b="0" baseline="0">
                <a:latin typeface="+mn-lt"/>
                <a:cs typeface="Arial" panose="020B0604020202020204" pitchFamily="34" charset="0"/>
              </a:defRPr>
            </a:pPr>
            <a:endParaRPr lang="en-US"/>
          </a:p>
        </c:txPr>
        <c:crossAx val="417122256"/>
        <c:crosses val="autoZero"/>
        <c:auto val="1"/>
        <c:lblAlgn val="ctr"/>
        <c:lblOffset val="100"/>
        <c:noMultiLvlLbl val="0"/>
      </c:catAx>
      <c:valAx>
        <c:axId val="417122256"/>
        <c:scaling>
          <c:orientation val="minMax"/>
        </c:scaling>
        <c:delete val="0"/>
        <c:axPos val="l"/>
        <c:majorGridlines/>
        <c:title>
          <c:tx>
            <c:rich>
              <a:bodyPr/>
              <a:lstStyle/>
              <a:p>
                <a:pPr>
                  <a:defRPr sz="1200"/>
                </a:pPr>
                <a:r>
                  <a:rPr lang="en-US" sz="1200"/>
                  <a:t>Volume (TB)</a:t>
                </a:r>
              </a:p>
            </c:rich>
          </c:tx>
          <c:layout>
            <c:manualLayout>
              <c:xMode val="edge"/>
              <c:yMode val="edge"/>
              <c:x val="4.8473441747445998E-3"/>
              <c:y val="0.36539536980201598"/>
            </c:manualLayout>
          </c:layout>
          <c:overlay val="0"/>
        </c:title>
        <c:numFmt formatCode="#,##0" sourceLinked="0"/>
        <c:majorTickMark val="out"/>
        <c:minorTickMark val="none"/>
        <c:tickLblPos val="nextTo"/>
        <c:txPr>
          <a:bodyPr/>
          <a:lstStyle/>
          <a:p>
            <a:pPr>
              <a:defRPr sz="1200">
                <a:solidFill>
                  <a:sysClr val="windowText" lastClr="000000"/>
                </a:solidFill>
                <a:latin typeface="+mn-lt"/>
                <a:cs typeface="Arial" panose="020B0604020202020204" pitchFamily="34" charset="0"/>
              </a:defRPr>
            </a:pPr>
            <a:endParaRPr lang="en-US"/>
          </a:p>
        </c:txPr>
        <c:crossAx val="417121168"/>
        <c:crosses val="autoZero"/>
        <c:crossBetween val="between"/>
      </c:valAx>
      <c:spPr>
        <a:ln>
          <a:solidFill>
            <a:schemeClr val="bg1">
              <a:lumMod val="50000"/>
            </a:schemeClr>
          </a:solidFill>
          <a:prstDash val="solid"/>
        </a:ln>
      </c:spPr>
    </c:plotArea>
    <c:plotVisOnly val="1"/>
    <c:dispBlanksAs val="gap"/>
    <c:showDLblsOverMax val="0"/>
  </c:chart>
  <c:printSettings>
    <c:headerFooter/>
    <c:pageMargins b="0.750000000000004" l="0.70000000000000095" r="0.70000000000000095" t="0.750000000000004" header="0.3" footer="0.3"/>
    <c:pageSetup/>
  </c:printSettings>
  <c:userShapes r:id="rId1"/>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a:latin typeface="+mn-lt"/>
                <a:cs typeface="Arial" panose="020B0604020202020204" pitchFamily="34" charset="0"/>
              </a:defRPr>
            </a:pPr>
            <a:r>
              <a:rPr lang="en-US"/>
              <a:t>LANCE Multi-Year Product Distribution Trend</a:t>
            </a:r>
          </a:p>
        </c:rich>
      </c:tx>
      <c:layout>
        <c:manualLayout>
          <c:xMode val="edge"/>
          <c:yMode val="edge"/>
          <c:x val="0.219374642226661"/>
          <c:y val="4.2874122560153598E-2"/>
        </c:manualLayout>
      </c:layout>
      <c:overlay val="0"/>
    </c:title>
    <c:autoTitleDeleted val="0"/>
    <c:plotArea>
      <c:layout>
        <c:manualLayout>
          <c:layoutTarget val="inner"/>
          <c:xMode val="edge"/>
          <c:yMode val="edge"/>
          <c:x val="0.113107657173634"/>
          <c:y val="0.18225294239347301"/>
          <c:w val="0.85726272307204099"/>
          <c:h val="0.65529307668611403"/>
        </c:manualLayout>
      </c:layout>
      <c:barChart>
        <c:barDir val="col"/>
        <c:grouping val="clustered"/>
        <c:varyColors val="0"/>
        <c:ser>
          <c:idx val="0"/>
          <c:order val="0"/>
          <c:tx>
            <c:strRef>
              <c:f>L_Summary_data!$C$8</c:f>
              <c:strCache>
                <c:ptCount val="1"/>
                <c:pt idx="0">
                  <c:v>LANCE</c:v>
                </c:pt>
              </c:strCache>
            </c:strRef>
          </c:tx>
          <c:invertIfNegative val="0"/>
          <c:cat>
            <c:strRef>
              <c:f>L_Summary_data!$B$9:$B$24</c:f>
              <c:strCache>
                <c:ptCount val="16"/>
                <c:pt idx="0">
                  <c:v>FY10</c:v>
                </c:pt>
                <c:pt idx="1">
                  <c:v>FY11</c:v>
                </c:pt>
                <c:pt idx="2">
                  <c:v>FY12</c:v>
                </c:pt>
                <c:pt idx="3">
                  <c:v>FY13</c:v>
                </c:pt>
                <c:pt idx="4">
                  <c:v>FY14</c:v>
                </c:pt>
                <c:pt idx="5">
                  <c:v>FY15</c:v>
                </c:pt>
                <c:pt idx="6">
                  <c:v>FY16</c:v>
                </c:pt>
                <c:pt idx="7">
                  <c:v>FY17</c:v>
                </c:pt>
                <c:pt idx="8">
                  <c:v>FY18</c:v>
                </c:pt>
                <c:pt idx="9">
                  <c:v>FY19</c:v>
                </c:pt>
                <c:pt idx="10">
                  <c:v>FY20</c:v>
                </c:pt>
                <c:pt idx="11">
                  <c:v>FY21</c:v>
                </c:pt>
                <c:pt idx="12">
                  <c:v>FY22</c:v>
                </c:pt>
                <c:pt idx="13">
                  <c:v>FY23</c:v>
                </c:pt>
                <c:pt idx="14">
                  <c:v>FY24</c:v>
                </c:pt>
                <c:pt idx="15">
                  <c:v>FY25</c:v>
                </c:pt>
              </c:strCache>
            </c:strRef>
          </c:cat>
          <c:val>
            <c:numRef>
              <c:f>L_Summary_data!$C$9:$C$24</c:f>
              <c:numCache>
                <c:formatCode>_(* #,##0.0_);_(* \(#,##0.0\);_(* "-"??_);_(@_)</c:formatCode>
                <c:ptCount val="16"/>
                <c:pt idx="0">
                  <c:v>17.264521999999999</c:v>
                </c:pt>
                <c:pt idx="1">
                  <c:v>22.105111999999998</c:v>
                </c:pt>
                <c:pt idx="2">
                  <c:v>65.958472999999998</c:v>
                </c:pt>
                <c:pt idx="3">
                  <c:v>89.748705000000001</c:v>
                </c:pt>
                <c:pt idx="4">
                  <c:v>69.865531000000004</c:v>
                </c:pt>
                <c:pt idx="5">
                  <c:v>72.539675000000003</c:v>
                </c:pt>
                <c:pt idx="6">
                  <c:v>76.3</c:v>
                </c:pt>
                <c:pt idx="7">
                  <c:v>123.179919</c:v>
                </c:pt>
                <c:pt idx="8">
                  <c:v>134.37852100000001</c:v>
                </c:pt>
                <c:pt idx="9">
                  <c:v>90.093598999999998</c:v>
                </c:pt>
                <c:pt idx="10">
                  <c:v>90.904066</c:v>
                </c:pt>
                <c:pt idx="11">
                  <c:v>125.12</c:v>
                </c:pt>
                <c:pt idx="12">
                  <c:v>149.04</c:v>
                </c:pt>
                <c:pt idx="13">
                  <c:v>203.30678299999997</c:v>
                </c:pt>
                <c:pt idx="14">
                  <c:v>285.49</c:v>
                </c:pt>
                <c:pt idx="15" formatCode="0.0">
                  <c:v>356.86886800000002</c:v>
                </c:pt>
              </c:numCache>
            </c:numRef>
          </c:val>
          <c:extLst>
            <c:ext xmlns:c16="http://schemas.microsoft.com/office/drawing/2014/chart" uri="{C3380CC4-5D6E-409C-BE32-E72D297353CC}">
              <c16:uniqueId val="{00000000-4D4F-AB4F-B9BB-AA9DDAB036E2}"/>
            </c:ext>
          </c:extLst>
        </c:ser>
        <c:dLbls>
          <c:showLegendKey val="0"/>
          <c:showVal val="0"/>
          <c:showCatName val="0"/>
          <c:showSerName val="0"/>
          <c:showPercent val="0"/>
          <c:showBubbleSize val="0"/>
        </c:dLbls>
        <c:gapWidth val="150"/>
        <c:axId val="417123344"/>
        <c:axId val="417123888"/>
      </c:barChart>
      <c:catAx>
        <c:axId val="417123344"/>
        <c:scaling>
          <c:orientation val="minMax"/>
        </c:scaling>
        <c:delete val="0"/>
        <c:axPos val="b"/>
        <c:title>
          <c:tx>
            <c:rich>
              <a:bodyPr/>
              <a:lstStyle/>
              <a:p>
                <a:pPr>
                  <a:defRPr sz="1200"/>
                </a:pPr>
                <a:r>
                  <a:rPr lang="en-US" sz="1200"/>
                  <a:t>Fiscal Year</a:t>
                </a:r>
              </a:p>
            </c:rich>
          </c:tx>
          <c:layout>
            <c:manualLayout>
              <c:xMode val="edge"/>
              <c:yMode val="edge"/>
              <c:x val="0.51269424232162897"/>
              <c:y val="0.91856945601153805"/>
            </c:manualLayout>
          </c:layout>
          <c:overlay val="0"/>
        </c:title>
        <c:numFmt formatCode="General" sourceLinked="0"/>
        <c:majorTickMark val="out"/>
        <c:minorTickMark val="none"/>
        <c:tickLblPos val="nextTo"/>
        <c:txPr>
          <a:bodyPr/>
          <a:lstStyle/>
          <a:p>
            <a:pPr>
              <a:defRPr sz="1200" b="0" baseline="0">
                <a:latin typeface="+mn-lt"/>
                <a:cs typeface="Arial" panose="020B0604020202020204" pitchFamily="34" charset="0"/>
              </a:defRPr>
            </a:pPr>
            <a:endParaRPr lang="en-US"/>
          </a:p>
        </c:txPr>
        <c:crossAx val="417123888"/>
        <c:crosses val="autoZero"/>
        <c:auto val="1"/>
        <c:lblAlgn val="ctr"/>
        <c:lblOffset val="100"/>
        <c:noMultiLvlLbl val="0"/>
      </c:catAx>
      <c:valAx>
        <c:axId val="417123888"/>
        <c:scaling>
          <c:orientation val="minMax"/>
        </c:scaling>
        <c:delete val="0"/>
        <c:axPos val="l"/>
        <c:majorGridlines/>
        <c:title>
          <c:tx>
            <c:rich>
              <a:bodyPr/>
              <a:lstStyle/>
              <a:p>
                <a:pPr>
                  <a:defRPr sz="1200"/>
                </a:pPr>
                <a:r>
                  <a:rPr lang="en-US" sz="1200"/>
                  <a:t>Product Distributed (Millions)</a:t>
                </a:r>
              </a:p>
            </c:rich>
          </c:tx>
          <c:layout>
            <c:manualLayout>
              <c:xMode val="edge"/>
              <c:yMode val="edge"/>
              <c:x val="9.8910104196542736E-3"/>
              <c:y val="0.17328869216295253"/>
            </c:manualLayout>
          </c:layout>
          <c:overlay val="0"/>
        </c:title>
        <c:numFmt formatCode="#,##0" sourceLinked="0"/>
        <c:majorTickMark val="out"/>
        <c:minorTickMark val="none"/>
        <c:tickLblPos val="nextTo"/>
        <c:spPr>
          <a:ln>
            <a:solidFill>
              <a:schemeClr val="bg1">
                <a:lumMod val="50000"/>
              </a:schemeClr>
            </a:solidFill>
          </a:ln>
        </c:spPr>
        <c:txPr>
          <a:bodyPr/>
          <a:lstStyle/>
          <a:p>
            <a:pPr>
              <a:defRPr sz="1200">
                <a:latin typeface="+mn-lt"/>
                <a:cs typeface="Arial" panose="020B0604020202020204" pitchFamily="34" charset="0"/>
              </a:defRPr>
            </a:pPr>
            <a:endParaRPr lang="en-US"/>
          </a:p>
        </c:txPr>
        <c:crossAx val="417123344"/>
        <c:crosses val="autoZero"/>
        <c:crossBetween val="between"/>
      </c:valAx>
      <c:spPr>
        <a:ln>
          <a:solidFill>
            <a:schemeClr val="bg1">
              <a:lumMod val="50000"/>
            </a:schemeClr>
          </a:solidFill>
          <a:prstDash val="solid"/>
        </a:ln>
      </c:spPr>
    </c:plotArea>
    <c:plotVisOnly val="1"/>
    <c:dispBlanksAs val="gap"/>
    <c:showDLblsOverMax val="0"/>
  </c:chart>
  <c:printSettings>
    <c:headerFooter/>
    <c:pageMargins b="0.750000000000004" l="0.70000000000000095" r="0.70000000000000095" t="0.750000000000004" header="0.3" footer="0.3"/>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64617039265194"/>
          <c:y val="0.143607581541664"/>
          <c:w val="0.798349496295651"/>
          <c:h val="0.70576857582792596"/>
        </c:manualLayout>
      </c:layout>
      <c:barChart>
        <c:barDir val="col"/>
        <c:grouping val="clustered"/>
        <c:varyColors val="0"/>
        <c:ser>
          <c:idx val="0"/>
          <c:order val="0"/>
          <c:tx>
            <c:strRef>
              <c:f>L_data!$B$312</c:f>
              <c:strCache>
                <c:ptCount val="1"/>
                <c:pt idx="0">
                  <c:v>VISITS</c:v>
                </c:pt>
              </c:strCache>
            </c:strRef>
          </c:tx>
          <c:spPr>
            <a:solidFill>
              <a:schemeClr val="accent1"/>
            </a:solidFill>
            <a:ln>
              <a:noFill/>
            </a:ln>
            <a:effectLst/>
          </c:spPr>
          <c:invertIfNegative val="0"/>
          <c:cat>
            <c:strRef>
              <c:f>L_data!$A$313:$A$328</c:f>
              <c:strCache>
                <c:ptCount val="16"/>
                <c:pt idx="0">
                  <c:v>FY10</c:v>
                </c:pt>
                <c:pt idx="1">
                  <c:v>FY11</c:v>
                </c:pt>
                <c:pt idx="2">
                  <c:v>FY12</c:v>
                </c:pt>
                <c:pt idx="3">
                  <c:v>FY13</c:v>
                </c:pt>
                <c:pt idx="4">
                  <c:v>FY14</c:v>
                </c:pt>
                <c:pt idx="5">
                  <c:v>FY15</c:v>
                </c:pt>
                <c:pt idx="6">
                  <c:v>FY16</c:v>
                </c:pt>
                <c:pt idx="7">
                  <c:v>FY17</c:v>
                </c:pt>
                <c:pt idx="8">
                  <c:v>FY18</c:v>
                </c:pt>
                <c:pt idx="9">
                  <c:v>FY19</c:v>
                </c:pt>
                <c:pt idx="10">
                  <c:v>FY20</c:v>
                </c:pt>
                <c:pt idx="11">
                  <c:v>FY21</c:v>
                </c:pt>
                <c:pt idx="12">
                  <c:v>FY22</c:v>
                </c:pt>
                <c:pt idx="13">
                  <c:v>FY23</c:v>
                </c:pt>
                <c:pt idx="14">
                  <c:v>FY24</c:v>
                </c:pt>
                <c:pt idx="15">
                  <c:v>FY25</c:v>
                </c:pt>
              </c:strCache>
            </c:strRef>
          </c:cat>
          <c:val>
            <c:numRef>
              <c:f>L_data!$B$313:$B$328</c:f>
              <c:numCache>
                <c:formatCode>_(* #,##0_);_(* \(#,##0\);_(* "-"??_);_(@_)</c:formatCode>
                <c:ptCount val="16"/>
                <c:pt idx="2">
                  <c:v>592471</c:v>
                </c:pt>
                <c:pt idx="3">
                  <c:v>555306</c:v>
                </c:pt>
                <c:pt idx="4">
                  <c:v>399036</c:v>
                </c:pt>
                <c:pt idx="5">
                  <c:v>349520</c:v>
                </c:pt>
                <c:pt idx="6">
                  <c:v>318452</c:v>
                </c:pt>
                <c:pt idx="7">
                  <c:v>302452</c:v>
                </c:pt>
                <c:pt idx="8">
                  <c:v>294901</c:v>
                </c:pt>
                <c:pt idx="9" formatCode="#,##0">
                  <c:v>272524</c:v>
                </c:pt>
                <c:pt idx="10" formatCode="General">
                  <c:v>652966</c:v>
                </c:pt>
                <c:pt idx="11" formatCode="General">
                  <c:v>1551417</c:v>
                </c:pt>
                <c:pt idx="12" formatCode="General">
                  <c:v>1435391</c:v>
                </c:pt>
                <c:pt idx="13" formatCode="General">
                  <c:v>2609749</c:v>
                </c:pt>
                <c:pt idx="14" formatCode="General">
                  <c:v>3077645</c:v>
                </c:pt>
                <c:pt idx="15" formatCode="General">
                  <c:v>6884611</c:v>
                </c:pt>
              </c:numCache>
            </c:numRef>
          </c:val>
          <c:extLst>
            <c:ext xmlns:c16="http://schemas.microsoft.com/office/drawing/2014/chart" uri="{C3380CC4-5D6E-409C-BE32-E72D297353CC}">
              <c16:uniqueId val="{00000000-99FA-E74E-8599-2B6237B4829F}"/>
            </c:ext>
          </c:extLst>
        </c:ser>
        <c:ser>
          <c:idx val="1"/>
          <c:order val="1"/>
          <c:tx>
            <c:strRef>
              <c:f>L_data!$C$312</c:f>
              <c:strCache>
                <c:ptCount val="1"/>
                <c:pt idx="0">
                  <c:v>VIEWS</c:v>
                </c:pt>
              </c:strCache>
            </c:strRef>
          </c:tx>
          <c:spPr>
            <a:solidFill>
              <a:schemeClr val="accent2"/>
            </a:solidFill>
            <a:ln>
              <a:noFill/>
            </a:ln>
            <a:effectLst/>
          </c:spPr>
          <c:invertIfNegative val="0"/>
          <c:cat>
            <c:strRef>
              <c:f>L_data!$A$313:$A$328</c:f>
              <c:strCache>
                <c:ptCount val="16"/>
                <c:pt idx="0">
                  <c:v>FY10</c:v>
                </c:pt>
                <c:pt idx="1">
                  <c:v>FY11</c:v>
                </c:pt>
                <c:pt idx="2">
                  <c:v>FY12</c:v>
                </c:pt>
                <c:pt idx="3">
                  <c:v>FY13</c:v>
                </c:pt>
                <c:pt idx="4">
                  <c:v>FY14</c:v>
                </c:pt>
                <c:pt idx="5">
                  <c:v>FY15</c:v>
                </c:pt>
                <c:pt idx="6">
                  <c:v>FY16</c:v>
                </c:pt>
                <c:pt idx="7">
                  <c:v>FY17</c:v>
                </c:pt>
                <c:pt idx="8">
                  <c:v>FY18</c:v>
                </c:pt>
                <c:pt idx="9">
                  <c:v>FY19</c:v>
                </c:pt>
                <c:pt idx="10">
                  <c:v>FY20</c:v>
                </c:pt>
                <c:pt idx="11">
                  <c:v>FY21</c:v>
                </c:pt>
                <c:pt idx="12">
                  <c:v>FY22</c:v>
                </c:pt>
                <c:pt idx="13">
                  <c:v>FY23</c:v>
                </c:pt>
                <c:pt idx="14">
                  <c:v>FY24</c:v>
                </c:pt>
                <c:pt idx="15">
                  <c:v>FY25</c:v>
                </c:pt>
              </c:strCache>
            </c:strRef>
          </c:cat>
          <c:val>
            <c:numRef>
              <c:f>L_data!$C$313:$C$328</c:f>
              <c:numCache>
                <c:formatCode>_(* #,##0_);_(* \(#,##0\);_(* "-"??_);_(@_)</c:formatCode>
                <c:ptCount val="16"/>
                <c:pt idx="2">
                  <c:v>6582527</c:v>
                </c:pt>
                <c:pt idx="3">
                  <c:v>5791919</c:v>
                </c:pt>
                <c:pt idx="4">
                  <c:v>4085298</c:v>
                </c:pt>
                <c:pt idx="5">
                  <c:v>3443353</c:v>
                </c:pt>
                <c:pt idx="6">
                  <c:v>3076663</c:v>
                </c:pt>
                <c:pt idx="7">
                  <c:v>2925899</c:v>
                </c:pt>
                <c:pt idx="8">
                  <c:v>3706912</c:v>
                </c:pt>
                <c:pt idx="9" formatCode="#,##0">
                  <c:v>1106932</c:v>
                </c:pt>
                <c:pt idx="10" formatCode="General">
                  <c:v>2561596</c:v>
                </c:pt>
                <c:pt idx="11" formatCode="General">
                  <c:v>4861082</c:v>
                </c:pt>
                <c:pt idx="12" formatCode="General">
                  <c:v>3770046</c:v>
                </c:pt>
                <c:pt idx="13" formatCode="General">
                  <c:v>3944764</c:v>
                </c:pt>
                <c:pt idx="14" formatCode="General">
                  <c:v>5281027</c:v>
                </c:pt>
                <c:pt idx="15" formatCode="General">
                  <c:v>9880812</c:v>
                </c:pt>
              </c:numCache>
            </c:numRef>
          </c:val>
          <c:extLst>
            <c:ext xmlns:c16="http://schemas.microsoft.com/office/drawing/2014/chart" uri="{C3380CC4-5D6E-409C-BE32-E72D297353CC}">
              <c16:uniqueId val="{00000001-99FA-E74E-8599-2B6237B4829F}"/>
            </c:ext>
          </c:extLst>
        </c:ser>
        <c:ser>
          <c:idx val="2"/>
          <c:order val="2"/>
          <c:tx>
            <c:strRef>
              <c:f>L_data!$D$312</c:f>
              <c:strCache>
                <c:ptCount val="1"/>
                <c:pt idx="0">
                  <c:v>VISITORS</c:v>
                </c:pt>
              </c:strCache>
            </c:strRef>
          </c:tx>
          <c:spPr>
            <a:solidFill>
              <a:schemeClr val="accent3"/>
            </a:solidFill>
            <a:ln>
              <a:noFill/>
            </a:ln>
            <a:effectLst/>
          </c:spPr>
          <c:invertIfNegative val="0"/>
          <c:cat>
            <c:strRef>
              <c:f>L_data!$A$313:$A$328</c:f>
              <c:strCache>
                <c:ptCount val="16"/>
                <c:pt idx="0">
                  <c:v>FY10</c:v>
                </c:pt>
                <c:pt idx="1">
                  <c:v>FY11</c:v>
                </c:pt>
                <c:pt idx="2">
                  <c:v>FY12</c:v>
                </c:pt>
                <c:pt idx="3">
                  <c:v>FY13</c:v>
                </c:pt>
                <c:pt idx="4">
                  <c:v>FY14</c:v>
                </c:pt>
                <c:pt idx="5">
                  <c:v>FY15</c:v>
                </c:pt>
                <c:pt idx="6">
                  <c:v>FY16</c:v>
                </c:pt>
                <c:pt idx="7">
                  <c:v>FY17</c:v>
                </c:pt>
                <c:pt idx="8">
                  <c:v>FY18</c:v>
                </c:pt>
                <c:pt idx="9">
                  <c:v>FY19</c:v>
                </c:pt>
                <c:pt idx="10">
                  <c:v>FY20</c:v>
                </c:pt>
                <c:pt idx="11">
                  <c:v>FY21</c:v>
                </c:pt>
                <c:pt idx="12">
                  <c:v>FY22</c:v>
                </c:pt>
                <c:pt idx="13">
                  <c:v>FY23</c:v>
                </c:pt>
                <c:pt idx="14">
                  <c:v>FY24</c:v>
                </c:pt>
                <c:pt idx="15">
                  <c:v>FY25</c:v>
                </c:pt>
              </c:strCache>
            </c:strRef>
          </c:cat>
          <c:val>
            <c:numRef>
              <c:f>L_data!$D$313:$D$328</c:f>
              <c:numCache>
                <c:formatCode>_(* #,##0_);_(* \(#,##0\);_(* "-"??_);_(@_)</c:formatCode>
                <c:ptCount val="16"/>
                <c:pt idx="2">
                  <c:v>325462</c:v>
                </c:pt>
                <c:pt idx="3">
                  <c:v>298036</c:v>
                </c:pt>
                <c:pt idx="4">
                  <c:v>224482</c:v>
                </c:pt>
                <c:pt idx="5">
                  <c:v>198199</c:v>
                </c:pt>
                <c:pt idx="6">
                  <c:v>185720</c:v>
                </c:pt>
                <c:pt idx="7">
                  <c:v>198199</c:v>
                </c:pt>
                <c:pt idx="8">
                  <c:v>197163</c:v>
                </c:pt>
                <c:pt idx="9" formatCode="#,##0">
                  <c:v>234658</c:v>
                </c:pt>
                <c:pt idx="10" formatCode="General">
                  <c:v>537745</c:v>
                </c:pt>
                <c:pt idx="11" formatCode="General">
                  <c:v>1064634</c:v>
                </c:pt>
                <c:pt idx="12" formatCode="General">
                  <c:v>890015</c:v>
                </c:pt>
                <c:pt idx="13" formatCode="General">
                  <c:v>1516462</c:v>
                </c:pt>
                <c:pt idx="14" formatCode="General">
                  <c:v>1835070</c:v>
                </c:pt>
                <c:pt idx="15" formatCode="General">
                  <c:v>2477287</c:v>
                </c:pt>
              </c:numCache>
            </c:numRef>
          </c:val>
          <c:extLst>
            <c:ext xmlns:c16="http://schemas.microsoft.com/office/drawing/2014/chart" uri="{C3380CC4-5D6E-409C-BE32-E72D297353CC}">
              <c16:uniqueId val="{00000002-99FA-E74E-8599-2B6237B4829F}"/>
            </c:ext>
          </c:extLst>
        </c:ser>
        <c:dLbls>
          <c:showLegendKey val="0"/>
          <c:showVal val="0"/>
          <c:showCatName val="0"/>
          <c:showSerName val="0"/>
          <c:showPercent val="0"/>
          <c:showBubbleSize val="0"/>
        </c:dLbls>
        <c:gapWidth val="219"/>
        <c:overlap val="-27"/>
        <c:axId val="417124432"/>
        <c:axId val="417127152"/>
      </c:barChart>
      <c:catAx>
        <c:axId val="417124432"/>
        <c:scaling>
          <c:orientation val="minMax"/>
        </c:scaling>
        <c:delete val="0"/>
        <c:axPos val="b"/>
        <c:title>
          <c:tx>
            <c:rich>
              <a:bodyPr rot="0" spcFirstLastPara="1" vertOverflow="ellipsis" vert="horz" wrap="square" anchor="ctr" anchorCtr="1"/>
              <a:lstStyle/>
              <a:p>
                <a:pPr>
                  <a:defRPr sz="1200" b="1" i="0" u="none" strike="noStrike" kern="1200" baseline="0">
                    <a:solidFill>
                      <a:sysClr val="windowText" lastClr="000000"/>
                    </a:solidFill>
                    <a:latin typeface="+mn-lt"/>
                    <a:ea typeface="+mn-ea"/>
                    <a:cs typeface="+mn-cs"/>
                  </a:defRPr>
                </a:pPr>
                <a:r>
                  <a:rPr lang="en-US" sz="1200" b="1">
                    <a:solidFill>
                      <a:sysClr val="windowText" lastClr="000000"/>
                    </a:solidFill>
                  </a:rPr>
                  <a:t>Fiscal Year</a:t>
                </a:r>
              </a:p>
            </c:rich>
          </c:tx>
          <c:layout>
            <c:manualLayout>
              <c:xMode val="edge"/>
              <c:yMode val="edge"/>
              <c:x val="0.52015726535887796"/>
              <c:y val="0.92867232948051204"/>
            </c:manualLayout>
          </c:layout>
          <c:overlay val="0"/>
          <c:spPr>
            <a:noFill/>
            <a:ln>
              <a:noFill/>
            </a:ln>
            <a:effectLst/>
          </c:spPr>
          <c:txPr>
            <a:bodyPr rot="0" spcFirstLastPara="1" vertOverflow="ellipsis" vert="horz" wrap="square" anchor="ctr" anchorCtr="1"/>
            <a:lstStyle/>
            <a:p>
              <a:pPr>
                <a:defRPr sz="1200" b="1" i="0" u="none" strike="noStrike" kern="1200" baseline="0">
                  <a:solidFill>
                    <a:sysClr val="windowText" lastClr="000000"/>
                  </a:solidFill>
                  <a:latin typeface="+mn-lt"/>
                  <a:ea typeface="+mn-ea"/>
                  <a:cs typeface="+mn-cs"/>
                </a:defRPr>
              </a:pPr>
              <a:endParaRPr lang="en-US"/>
            </a:p>
          </c:txPr>
        </c:title>
        <c:numFmt formatCode="General" sourceLinked="1"/>
        <c:majorTickMark val="out"/>
        <c:minorTickMark val="none"/>
        <c:tickLblPos val="nextTo"/>
        <c:spPr>
          <a:noFill/>
          <a:ln w="12700" cap="flat" cmpd="sng" algn="ctr">
            <a:solidFill>
              <a:schemeClr val="bg1">
                <a:lumMod val="50000"/>
              </a:schemeClr>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en-US"/>
          </a:p>
        </c:txPr>
        <c:crossAx val="417127152"/>
        <c:crosses val="autoZero"/>
        <c:auto val="1"/>
        <c:lblAlgn val="ctr"/>
        <c:lblOffset val="100"/>
        <c:noMultiLvlLbl val="0"/>
      </c:catAx>
      <c:valAx>
        <c:axId val="417127152"/>
        <c:scaling>
          <c:orientation val="minMax"/>
        </c:scaling>
        <c:delete val="0"/>
        <c:axPos val="l"/>
        <c:majorGridlines>
          <c:spPr>
            <a:ln w="9525" cap="flat" cmpd="sng" algn="ctr">
              <a:solidFill>
                <a:schemeClr val="bg1">
                  <a:lumMod val="50000"/>
                </a:schemeClr>
              </a:solidFill>
              <a:round/>
            </a:ln>
            <a:effectLst/>
          </c:spPr>
        </c:majorGridlines>
        <c:title>
          <c:tx>
            <c:rich>
              <a:bodyPr rot="-5400000" spcFirstLastPara="1" vertOverflow="ellipsis" vert="horz" wrap="square" anchor="ctr" anchorCtr="1"/>
              <a:lstStyle/>
              <a:p>
                <a:pPr>
                  <a:defRPr sz="1200" b="1" i="0" u="none" strike="noStrike" kern="1200" baseline="0">
                    <a:solidFill>
                      <a:sysClr val="windowText" lastClr="000000"/>
                    </a:solidFill>
                    <a:latin typeface="+mn-lt"/>
                    <a:ea typeface="+mn-ea"/>
                    <a:cs typeface="+mn-cs"/>
                  </a:defRPr>
                </a:pPr>
                <a:r>
                  <a:rPr lang="en-US" sz="1200" b="1">
                    <a:solidFill>
                      <a:sysClr val="windowText" lastClr="000000"/>
                    </a:solidFill>
                  </a:rPr>
                  <a:t>Number </a:t>
                </a:r>
              </a:p>
            </c:rich>
          </c:tx>
          <c:layout>
            <c:manualLayout>
              <c:xMode val="edge"/>
              <c:yMode val="edge"/>
              <c:x val="3.3999234192006499E-3"/>
              <c:y val="0.346614823753157"/>
            </c:manualLayout>
          </c:layout>
          <c:overlay val="0"/>
          <c:spPr>
            <a:noFill/>
            <a:ln>
              <a:noFill/>
            </a:ln>
            <a:effectLst/>
          </c:spPr>
          <c:txPr>
            <a:bodyPr rot="-5400000" spcFirstLastPara="1" vertOverflow="ellipsis" vert="horz" wrap="square" anchor="ctr" anchorCtr="1"/>
            <a:lstStyle/>
            <a:p>
              <a:pPr>
                <a:defRPr sz="1200" b="1" i="0" u="none" strike="noStrike" kern="1200" baseline="0">
                  <a:solidFill>
                    <a:sysClr val="windowText" lastClr="000000"/>
                  </a:solidFill>
                  <a:latin typeface="+mn-lt"/>
                  <a:ea typeface="+mn-ea"/>
                  <a:cs typeface="+mn-cs"/>
                </a:defRPr>
              </a:pPr>
              <a:endParaRPr lang="en-US"/>
            </a:p>
          </c:txPr>
        </c:title>
        <c:numFmt formatCode="#,##0" sourceLinked="0"/>
        <c:majorTickMark val="out"/>
        <c:minorTickMark val="none"/>
        <c:tickLblPos val="nextTo"/>
        <c:spPr>
          <a:noFill/>
          <a:ln>
            <a:solidFill>
              <a:schemeClr val="bg1">
                <a:lumMod val="50000"/>
              </a:schemeClr>
            </a:solid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en-US"/>
          </a:p>
        </c:txPr>
        <c:crossAx val="417124432"/>
        <c:crosses val="autoZero"/>
        <c:crossBetween val="between"/>
      </c:valAx>
      <c:spPr>
        <a:noFill/>
        <a:ln>
          <a:solidFill>
            <a:schemeClr val="bg1">
              <a:lumMod val="50000"/>
            </a:schemeClr>
          </a:solidFill>
        </a:ln>
        <a:effectLst/>
      </c:spPr>
    </c:plotArea>
    <c:legend>
      <c:legendPos val="b"/>
      <c:layout>
        <c:manualLayout>
          <c:xMode val="edge"/>
          <c:yMode val="edge"/>
          <c:x val="0.5359046966237091"/>
          <c:y val="0.16789885105787741"/>
          <c:w val="0.43458209103110301"/>
          <c:h val="7.0069702211775803E-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bg1">
          <a:lumMod val="50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8982927746641"/>
          <c:y val="0.14901950216041901"/>
          <c:w val="0.85018015139071501"/>
          <c:h val="0.68891197860574704"/>
        </c:manualLayout>
      </c:layout>
      <c:lineChart>
        <c:grouping val="standard"/>
        <c:varyColors val="0"/>
        <c:ser>
          <c:idx val="0"/>
          <c:order val="0"/>
          <c:tx>
            <c:strRef>
              <c:f>data!$C$176</c:f>
              <c:strCache>
                <c:ptCount val="1"/>
                <c:pt idx="0">
                  <c:v>ASF</c:v>
                </c:pt>
              </c:strCache>
            </c:strRef>
          </c:tx>
          <c:marker>
            <c:symbol val="none"/>
          </c:marker>
          <c:cat>
            <c:strRef>
              <c:f>data!$A$177:$A$191</c:f>
              <c:strCache>
                <c:ptCount val="15"/>
                <c:pt idx="0">
                  <c:v>FY08</c:v>
                </c:pt>
                <c:pt idx="1">
                  <c:v>FY09</c:v>
                </c:pt>
                <c:pt idx="2">
                  <c:v>FY10</c:v>
                </c:pt>
                <c:pt idx="3">
                  <c:v>FY11</c:v>
                </c:pt>
                <c:pt idx="4">
                  <c:v>FY12</c:v>
                </c:pt>
                <c:pt idx="5">
                  <c:v>FY13</c:v>
                </c:pt>
                <c:pt idx="6">
                  <c:v>FY14</c:v>
                </c:pt>
                <c:pt idx="7">
                  <c:v>FY15</c:v>
                </c:pt>
                <c:pt idx="8">
                  <c:v>FY16</c:v>
                </c:pt>
                <c:pt idx="9">
                  <c:v>FY17</c:v>
                </c:pt>
                <c:pt idx="10">
                  <c:v>FY18</c:v>
                </c:pt>
                <c:pt idx="11">
                  <c:v>FY19</c:v>
                </c:pt>
                <c:pt idx="12">
                  <c:v>FY20</c:v>
                </c:pt>
                <c:pt idx="13">
                  <c:v>FY21</c:v>
                </c:pt>
                <c:pt idx="14">
                  <c:v>FY22</c:v>
                </c:pt>
              </c:strCache>
            </c:strRef>
          </c:cat>
          <c:val>
            <c:numRef>
              <c:f>data!$C$177:$C$191</c:f>
              <c:numCache>
                <c:formatCode>0.0%</c:formatCode>
                <c:ptCount val="15"/>
                <c:pt idx="0">
                  <c:v>4.2850024912805179E-2</c:v>
                </c:pt>
                <c:pt idx="1">
                  <c:v>6.5149136577708003E-2</c:v>
                </c:pt>
                <c:pt idx="2">
                  <c:v>4.4993735049550065E-2</c:v>
                </c:pt>
                <c:pt idx="3">
                  <c:v>0.14648586707410235</c:v>
                </c:pt>
                <c:pt idx="4">
                  <c:v>0.20397167487684728</c:v>
                </c:pt>
                <c:pt idx="5">
                  <c:v>0.20597179983411668</c:v>
                </c:pt>
                <c:pt idx="6">
                  <c:v>0.14301525812317178</c:v>
                </c:pt>
                <c:pt idx="7">
                  <c:v>0.15005534433803358</c:v>
                </c:pt>
                <c:pt idx="8">
                  <c:v>0.28227502356723311</c:v>
                </c:pt>
                <c:pt idx="9">
                  <c:v>0.55823526083512509</c:v>
                </c:pt>
                <c:pt idx="10">
                  <c:v>0.4168061412448924</c:v>
                </c:pt>
                <c:pt idx="11">
                  <c:v>0.41821498650968847</c:v>
                </c:pt>
              </c:numCache>
            </c:numRef>
          </c:val>
          <c:smooth val="0"/>
          <c:extLst>
            <c:ext xmlns:c16="http://schemas.microsoft.com/office/drawing/2014/chart" uri="{C3380CC4-5D6E-409C-BE32-E72D297353CC}">
              <c16:uniqueId val="{00000000-D127-C744-AA51-67CC33F42655}"/>
            </c:ext>
          </c:extLst>
        </c:ser>
        <c:dLbls>
          <c:showLegendKey val="0"/>
          <c:showVal val="0"/>
          <c:showCatName val="0"/>
          <c:showSerName val="0"/>
          <c:showPercent val="0"/>
          <c:showBubbleSize val="0"/>
        </c:dLbls>
        <c:smooth val="0"/>
        <c:axId val="361727168"/>
        <c:axId val="361719008"/>
      </c:lineChart>
      <c:catAx>
        <c:axId val="361727168"/>
        <c:scaling>
          <c:orientation val="minMax"/>
        </c:scaling>
        <c:delete val="0"/>
        <c:axPos val="b"/>
        <c:title>
          <c:tx>
            <c:rich>
              <a:bodyPr/>
              <a:lstStyle/>
              <a:p>
                <a:pPr>
                  <a:defRPr sz="1200"/>
                </a:pPr>
                <a:r>
                  <a:rPr lang="en-US" sz="1200"/>
                  <a:t>Fiscal Year</a:t>
                </a:r>
              </a:p>
            </c:rich>
          </c:tx>
          <c:layout>
            <c:manualLayout>
              <c:xMode val="edge"/>
              <c:yMode val="edge"/>
              <c:x val="0.48422756091902203"/>
              <c:y val="0.91945592070692705"/>
            </c:manualLayout>
          </c:layout>
          <c:overlay val="0"/>
        </c:title>
        <c:numFmt formatCode="General" sourceLinked="0"/>
        <c:majorTickMark val="out"/>
        <c:minorTickMark val="none"/>
        <c:tickLblPos val="nextTo"/>
        <c:txPr>
          <a:bodyPr/>
          <a:lstStyle/>
          <a:p>
            <a:pPr>
              <a:defRPr sz="1200" b="0" baseline="0">
                <a:latin typeface="+mn-lt"/>
                <a:cs typeface="Arial" panose="020B0604020202020204" pitchFamily="34" charset="0"/>
              </a:defRPr>
            </a:pPr>
            <a:endParaRPr lang="en-US"/>
          </a:p>
        </c:txPr>
        <c:crossAx val="361719008"/>
        <c:crosses val="autoZero"/>
        <c:auto val="1"/>
        <c:lblAlgn val="ctr"/>
        <c:lblOffset val="100"/>
        <c:noMultiLvlLbl val="0"/>
      </c:catAx>
      <c:valAx>
        <c:axId val="361719008"/>
        <c:scaling>
          <c:orientation val="minMax"/>
        </c:scaling>
        <c:delete val="0"/>
        <c:axPos val="l"/>
        <c:majorGridlines/>
        <c:title>
          <c:tx>
            <c:rich>
              <a:bodyPr/>
              <a:lstStyle/>
              <a:p>
                <a:pPr>
                  <a:defRPr sz="1200"/>
                </a:pPr>
                <a:r>
                  <a:rPr lang="en-US" sz="1200"/>
                  <a:t>Percentage</a:t>
                </a:r>
              </a:p>
            </c:rich>
          </c:tx>
          <c:layout>
            <c:manualLayout>
              <c:xMode val="edge"/>
              <c:yMode val="edge"/>
              <c:x val="4.8473441747445998E-3"/>
              <c:y val="0.36539536980201598"/>
            </c:manualLayout>
          </c:layout>
          <c:overlay val="0"/>
        </c:title>
        <c:numFmt formatCode="0%" sourceLinked="0"/>
        <c:majorTickMark val="out"/>
        <c:minorTickMark val="none"/>
        <c:tickLblPos val="nextTo"/>
        <c:txPr>
          <a:bodyPr/>
          <a:lstStyle/>
          <a:p>
            <a:pPr>
              <a:defRPr sz="1200">
                <a:solidFill>
                  <a:sysClr val="windowText" lastClr="000000"/>
                </a:solidFill>
                <a:latin typeface="+mn-lt"/>
                <a:cs typeface="Arial" panose="020B0604020202020204" pitchFamily="34" charset="0"/>
              </a:defRPr>
            </a:pPr>
            <a:endParaRPr lang="en-US"/>
          </a:p>
        </c:txPr>
        <c:crossAx val="361727168"/>
        <c:crosses val="autoZero"/>
        <c:crossBetween val="between"/>
      </c:valAx>
      <c:spPr>
        <a:ln>
          <a:solidFill>
            <a:schemeClr val="bg1">
              <a:lumMod val="50000"/>
            </a:schemeClr>
          </a:solidFill>
          <a:prstDash val="solid"/>
        </a:ln>
      </c:spPr>
    </c:plotArea>
    <c:plotVisOnly val="1"/>
    <c:dispBlanksAs val="gap"/>
    <c:showDLblsOverMax val="0"/>
  </c:chart>
  <c:printSettings>
    <c:headerFooter/>
    <c:pageMargins b="0.750000000000004" l="0.70000000000000095" r="0.70000000000000095" t="0.750000000000004" header="0.3" footer="0.3"/>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a:latin typeface="+mn-lt"/>
                <a:cs typeface="Arial" panose="020B0604020202020204" pitchFamily="34" charset="0"/>
              </a:defRPr>
            </a:pPr>
            <a:r>
              <a:rPr lang="en-US"/>
              <a:t>ASF Multi-Year Product Distribution Trend</a:t>
            </a:r>
          </a:p>
        </c:rich>
      </c:tx>
      <c:layout>
        <c:manualLayout>
          <c:xMode val="edge"/>
          <c:yMode val="edge"/>
          <c:x val="0.219374642226661"/>
          <c:y val="4.2874122560153598E-2"/>
        </c:manualLayout>
      </c:layout>
      <c:overlay val="0"/>
    </c:title>
    <c:autoTitleDeleted val="0"/>
    <c:plotArea>
      <c:layout>
        <c:manualLayout>
          <c:layoutTarget val="inner"/>
          <c:xMode val="edge"/>
          <c:yMode val="edge"/>
          <c:x val="0.113107657173634"/>
          <c:y val="0.18225294239347301"/>
          <c:w val="0.85726272307204099"/>
          <c:h val="0.65529307668611403"/>
        </c:manualLayout>
      </c:layout>
      <c:barChart>
        <c:barDir val="col"/>
        <c:grouping val="clustered"/>
        <c:varyColors val="0"/>
        <c:ser>
          <c:idx val="0"/>
          <c:order val="0"/>
          <c:tx>
            <c:strRef>
              <c:f>Summary_data!$E$21</c:f>
              <c:strCache>
                <c:ptCount val="1"/>
                <c:pt idx="0">
                  <c:v>ASF</c:v>
                </c:pt>
              </c:strCache>
            </c:strRef>
          </c:tx>
          <c:invertIfNegative val="0"/>
          <c:cat>
            <c:strRef>
              <c:f>Summary_data!$C$22:$C$40</c:f>
              <c:strCache>
                <c:ptCount val="19"/>
                <c:pt idx="0">
                  <c:v>FY07</c:v>
                </c:pt>
                <c:pt idx="1">
                  <c:v>FY08</c:v>
                </c:pt>
                <c:pt idx="2">
                  <c:v>FY09</c:v>
                </c:pt>
                <c:pt idx="3">
                  <c:v>FY10</c:v>
                </c:pt>
                <c:pt idx="4">
                  <c:v>FY11</c:v>
                </c:pt>
                <c:pt idx="5">
                  <c:v>FY12</c:v>
                </c:pt>
                <c:pt idx="6">
                  <c:v>FY13</c:v>
                </c:pt>
                <c:pt idx="7">
                  <c:v>FY14</c:v>
                </c:pt>
                <c:pt idx="8">
                  <c:v>FY15</c:v>
                </c:pt>
                <c:pt idx="9">
                  <c:v>FY16</c:v>
                </c:pt>
                <c:pt idx="10">
                  <c:v>FY17</c:v>
                </c:pt>
                <c:pt idx="11">
                  <c:v>FY18</c:v>
                </c:pt>
                <c:pt idx="12">
                  <c:v>FY19</c:v>
                </c:pt>
                <c:pt idx="13">
                  <c:v>FY20</c:v>
                </c:pt>
                <c:pt idx="14">
                  <c:v>FY21</c:v>
                </c:pt>
                <c:pt idx="15">
                  <c:v>FY22</c:v>
                </c:pt>
                <c:pt idx="16">
                  <c:v>FY23</c:v>
                </c:pt>
                <c:pt idx="17">
                  <c:v>FY24</c:v>
                </c:pt>
                <c:pt idx="18">
                  <c:v>FY25</c:v>
                </c:pt>
              </c:strCache>
            </c:strRef>
          </c:cat>
          <c:val>
            <c:numRef>
              <c:f>Summary_data!$E$22:$E$40</c:f>
              <c:numCache>
                <c:formatCode>_(* #,##0.0_);_(* \(#,##0.0\);_(* "-"??_);_(@_)</c:formatCode>
                <c:ptCount val="19"/>
                <c:pt idx="0">
                  <c:v>0</c:v>
                </c:pt>
                <c:pt idx="1">
                  <c:v>0.30386999999999997</c:v>
                </c:pt>
                <c:pt idx="2">
                  <c:v>0.47285700000000003</c:v>
                </c:pt>
                <c:pt idx="3">
                  <c:v>0.101671</c:v>
                </c:pt>
                <c:pt idx="4">
                  <c:v>0.36860900000000002</c:v>
                </c:pt>
                <c:pt idx="5">
                  <c:v>0.846248</c:v>
                </c:pt>
                <c:pt idx="6">
                  <c:v>0.67360799999999998</c:v>
                </c:pt>
                <c:pt idx="7">
                  <c:v>1.1101460000000001</c:v>
                </c:pt>
                <c:pt idx="8">
                  <c:v>2.0008599999999999</c:v>
                </c:pt>
                <c:pt idx="9">
                  <c:v>5.1804249999999996</c:v>
                </c:pt>
                <c:pt idx="10">
                  <c:v>6.6679250000000003</c:v>
                </c:pt>
                <c:pt idx="11">
                  <c:v>11.235903</c:v>
                </c:pt>
                <c:pt idx="12">
                  <c:v>31.991156</c:v>
                </c:pt>
                <c:pt idx="13">
                  <c:v>39.777545000000003</c:v>
                </c:pt>
                <c:pt idx="14">
                  <c:v>34.563133000000001</c:v>
                </c:pt>
                <c:pt idx="15">
                  <c:v>51.888854000000002</c:v>
                </c:pt>
                <c:pt idx="16">
                  <c:v>48.061692999999998</c:v>
                </c:pt>
                <c:pt idx="17">
                  <c:v>69.781617999999995</c:v>
                </c:pt>
                <c:pt idx="18">
                  <c:v>220.06076999999999</c:v>
                </c:pt>
              </c:numCache>
            </c:numRef>
          </c:val>
          <c:extLst>
            <c:ext xmlns:c16="http://schemas.microsoft.com/office/drawing/2014/chart" uri="{C3380CC4-5D6E-409C-BE32-E72D297353CC}">
              <c16:uniqueId val="{00000000-23CD-9845-B634-7BAE4E95C11A}"/>
            </c:ext>
          </c:extLst>
        </c:ser>
        <c:dLbls>
          <c:showLegendKey val="0"/>
          <c:showVal val="0"/>
          <c:showCatName val="0"/>
          <c:showSerName val="0"/>
          <c:showPercent val="0"/>
          <c:showBubbleSize val="0"/>
        </c:dLbls>
        <c:gapWidth val="150"/>
        <c:axId val="361722816"/>
        <c:axId val="361723360"/>
      </c:barChart>
      <c:catAx>
        <c:axId val="361722816"/>
        <c:scaling>
          <c:orientation val="minMax"/>
        </c:scaling>
        <c:delete val="0"/>
        <c:axPos val="b"/>
        <c:title>
          <c:tx>
            <c:rich>
              <a:bodyPr/>
              <a:lstStyle/>
              <a:p>
                <a:pPr>
                  <a:defRPr sz="1200"/>
                </a:pPr>
                <a:r>
                  <a:rPr lang="en-US" sz="1200"/>
                  <a:t>Fiscal Year</a:t>
                </a:r>
              </a:p>
            </c:rich>
          </c:tx>
          <c:layout>
            <c:manualLayout>
              <c:xMode val="edge"/>
              <c:yMode val="edge"/>
              <c:x val="0.51269424232162897"/>
              <c:y val="0.91856945601153805"/>
            </c:manualLayout>
          </c:layout>
          <c:overlay val="0"/>
        </c:title>
        <c:numFmt formatCode="General" sourceLinked="0"/>
        <c:majorTickMark val="out"/>
        <c:minorTickMark val="none"/>
        <c:tickLblPos val="nextTo"/>
        <c:txPr>
          <a:bodyPr/>
          <a:lstStyle/>
          <a:p>
            <a:pPr>
              <a:defRPr sz="1200" b="0" baseline="0">
                <a:latin typeface="+mn-lt"/>
                <a:cs typeface="Arial" panose="020B0604020202020204" pitchFamily="34" charset="0"/>
              </a:defRPr>
            </a:pPr>
            <a:endParaRPr lang="en-US"/>
          </a:p>
        </c:txPr>
        <c:crossAx val="361723360"/>
        <c:crosses val="autoZero"/>
        <c:auto val="1"/>
        <c:lblAlgn val="ctr"/>
        <c:lblOffset val="100"/>
        <c:noMultiLvlLbl val="0"/>
      </c:catAx>
      <c:valAx>
        <c:axId val="361723360"/>
        <c:scaling>
          <c:orientation val="minMax"/>
        </c:scaling>
        <c:delete val="0"/>
        <c:axPos val="l"/>
        <c:majorGridlines/>
        <c:title>
          <c:tx>
            <c:rich>
              <a:bodyPr/>
              <a:lstStyle/>
              <a:p>
                <a:pPr>
                  <a:defRPr sz="1200"/>
                </a:pPr>
                <a:r>
                  <a:rPr lang="en-US" sz="1200"/>
                  <a:t>Product Distributed (Millions)</a:t>
                </a:r>
              </a:p>
            </c:rich>
          </c:tx>
          <c:layout>
            <c:manualLayout>
              <c:xMode val="edge"/>
              <c:yMode val="edge"/>
              <c:x val="1.6285028493567399E-2"/>
              <c:y val="0.17328868888728299"/>
            </c:manualLayout>
          </c:layout>
          <c:overlay val="0"/>
        </c:title>
        <c:numFmt formatCode="#,##0.0" sourceLinked="0"/>
        <c:majorTickMark val="out"/>
        <c:minorTickMark val="none"/>
        <c:tickLblPos val="nextTo"/>
        <c:spPr>
          <a:ln>
            <a:solidFill>
              <a:schemeClr val="bg1">
                <a:lumMod val="50000"/>
              </a:schemeClr>
            </a:solidFill>
          </a:ln>
        </c:spPr>
        <c:txPr>
          <a:bodyPr/>
          <a:lstStyle/>
          <a:p>
            <a:pPr>
              <a:defRPr sz="1200">
                <a:latin typeface="+mn-lt"/>
                <a:cs typeface="Arial" panose="020B0604020202020204" pitchFamily="34" charset="0"/>
              </a:defRPr>
            </a:pPr>
            <a:endParaRPr lang="en-US"/>
          </a:p>
        </c:txPr>
        <c:crossAx val="361722816"/>
        <c:crosses val="autoZero"/>
        <c:crossBetween val="between"/>
      </c:valAx>
      <c:spPr>
        <a:ln>
          <a:solidFill>
            <a:schemeClr val="bg1">
              <a:lumMod val="50000"/>
            </a:schemeClr>
          </a:solidFill>
          <a:prstDash val="solid"/>
        </a:ln>
      </c:spPr>
    </c:plotArea>
    <c:plotVisOnly val="1"/>
    <c:dispBlanksAs val="gap"/>
    <c:showDLblsOverMax val="0"/>
  </c:chart>
  <c:printSettings>
    <c:headerFooter/>
    <c:pageMargins b="0.750000000000004" l="0.70000000000000095" r="0.70000000000000095" t="0.750000000000004"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44377647232707"/>
          <c:y val="0.143607581541664"/>
          <c:w val="0.80852879025372704"/>
          <c:h val="0.70576857582792596"/>
        </c:manualLayout>
      </c:layout>
      <c:barChart>
        <c:barDir val="col"/>
        <c:grouping val="clustered"/>
        <c:varyColors val="0"/>
        <c:ser>
          <c:idx val="0"/>
          <c:order val="0"/>
          <c:tx>
            <c:strRef>
              <c:f>data!$E$283</c:f>
              <c:strCache>
                <c:ptCount val="1"/>
                <c:pt idx="0">
                  <c:v>VISITS</c:v>
                </c:pt>
              </c:strCache>
            </c:strRef>
          </c:tx>
          <c:spPr>
            <a:solidFill>
              <a:schemeClr val="accent1"/>
            </a:solidFill>
            <a:ln>
              <a:noFill/>
            </a:ln>
            <a:effectLst/>
          </c:spPr>
          <c:invertIfNegative val="0"/>
          <c:cat>
            <c:strRef>
              <c:f>data!$A$284:$A$302</c:f>
              <c:strCache>
                <c:ptCount val="19"/>
                <c:pt idx="0">
                  <c:v>FY07</c:v>
                </c:pt>
                <c:pt idx="1">
                  <c:v>FY08</c:v>
                </c:pt>
                <c:pt idx="2">
                  <c:v>FY09</c:v>
                </c:pt>
                <c:pt idx="3">
                  <c:v>FY10</c:v>
                </c:pt>
                <c:pt idx="4">
                  <c:v>FY11</c:v>
                </c:pt>
                <c:pt idx="5">
                  <c:v>FY12</c:v>
                </c:pt>
                <c:pt idx="6">
                  <c:v>FY13</c:v>
                </c:pt>
                <c:pt idx="7">
                  <c:v>FY14</c:v>
                </c:pt>
                <c:pt idx="8">
                  <c:v>FY15</c:v>
                </c:pt>
                <c:pt idx="9">
                  <c:v>FY16</c:v>
                </c:pt>
                <c:pt idx="10">
                  <c:v>FY17</c:v>
                </c:pt>
                <c:pt idx="11">
                  <c:v>FY18</c:v>
                </c:pt>
                <c:pt idx="12">
                  <c:v>FY19</c:v>
                </c:pt>
                <c:pt idx="13">
                  <c:v>FY20</c:v>
                </c:pt>
                <c:pt idx="14">
                  <c:v>FY21</c:v>
                </c:pt>
                <c:pt idx="15">
                  <c:v>FY22</c:v>
                </c:pt>
                <c:pt idx="16">
                  <c:v>FY23</c:v>
                </c:pt>
                <c:pt idx="17">
                  <c:v>FY24</c:v>
                </c:pt>
                <c:pt idx="18">
                  <c:v>FY25</c:v>
                </c:pt>
              </c:strCache>
            </c:strRef>
          </c:cat>
          <c:val>
            <c:numRef>
              <c:f>data!$E$284:$E$302</c:f>
              <c:numCache>
                <c:formatCode>_(* #,##0_);_(* \(#,##0\);_(* "-"??_);_(@_)</c:formatCode>
                <c:ptCount val="19"/>
                <c:pt idx="1">
                  <c:v>7745</c:v>
                </c:pt>
                <c:pt idx="2">
                  <c:v>6366</c:v>
                </c:pt>
                <c:pt idx="3">
                  <c:v>16270</c:v>
                </c:pt>
                <c:pt idx="4">
                  <c:v>13772</c:v>
                </c:pt>
                <c:pt idx="5">
                  <c:v>13439</c:v>
                </c:pt>
                <c:pt idx="6">
                  <c:v>13782</c:v>
                </c:pt>
                <c:pt idx="7">
                  <c:v>20584</c:v>
                </c:pt>
                <c:pt idx="8">
                  <c:v>30739</c:v>
                </c:pt>
                <c:pt idx="9">
                  <c:v>65720</c:v>
                </c:pt>
                <c:pt idx="10">
                  <c:v>108364</c:v>
                </c:pt>
                <c:pt idx="11">
                  <c:v>161646</c:v>
                </c:pt>
                <c:pt idx="12">
                  <c:v>227634</c:v>
                </c:pt>
                <c:pt idx="13">
                  <c:v>111889</c:v>
                </c:pt>
                <c:pt idx="14">
                  <c:v>480179</c:v>
                </c:pt>
                <c:pt idx="15">
                  <c:v>549537</c:v>
                </c:pt>
                <c:pt idx="16">
                  <c:v>587724</c:v>
                </c:pt>
                <c:pt idx="17">
                  <c:v>82302</c:v>
                </c:pt>
                <c:pt idx="18">
                  <c:v>194045</c:v>
                </c:pt>
              </c:numCache>
            </c:numRef>
          </c:val>
          <c:extLst>
            <c:ext xmlns:c16="http://schemas.microsoft.com/office/drawing/2014/chart" uri="{C3380CC4-5D6E-409C-BE32-E72D297353CC}">
              <c16:uniqueId val="{00000000-945D-8C4D-83D4-812BA3AA57A9}"/>
            </c:ext>
          </c:extLst>
        </c:ser>
        <c:ser>
          <c:idx val="1"/>
          <c:order val="1"/>
          <c:tx>
            <c:strRef>
              <c:f>data!$F$283</c:f>
              <c:strCache>
                <c:ptCount val="1"/>
                <c:pt idx="0">
                  <c:v>VIEWS</c:v>
                </c:pt>
              </c:strCache>
            </c:strRef>
          </c:tx>
          <c:spPr>
            <a:solidFill>
              <a:schemeClr val="accent2"/>
            </a:solidFill>
            <a:ln>
              <a:noFill/>
            </a:ln>
            <a:effectLst/>
          </c:spPr>
          <c:invertIfNegative val="0"/>
          <c:cat>
            <c:strRef>
              <c:f>data!$A$284:$A$302</c:f>
              <c:strCache>
                <c:ptCount val="19"/>
                <c:pt idx="0">
                  <c:v>FY07</c:v>
                </c:pt>
                <c:pt idx="1">
                  <c:v>FY08</c:v>
                </c:pt>
                <c:pt idx="2">
                  <c:v>FY09</c:v>
                </c:pt>
                <c:pt idx="3">
                  <c:v>FY10</c:v>
                </c:pt>
                <c:pt idx="4">
                  <c:v>FY11</c:v>
                </c:pt>
                <c:pt idx="5">
                  <c:v>FY12</c:v>
                </c:pt>
                <c:pt idx="6">
                  <c:v>FY13</c:v>
                </c:pt>
                <c:pt idx="7">
                  <c:v>FY14</c:v>
                </c:pt>
                <c:pt idx="8">
                  <c:v>FY15</c:v>
                </c:pt>
                <c:pt idx="9">
                  <c:v>FY16</c:v>
                </c:pt>
                <c:pt idx="10">
                  <c:v>FY17</c:v>
                </c:pt>
                <c:pt idx="11">
                  <c:v>FY18</c:v>
                </c:pt>
                <c:pt idx="12">
                  <c:v>FY19</c:v>
                </c:pt>
                <c:pt idx="13">
                  <c:v>FY20</c:v>
                </c:pt>
                <c:pt idx="14">
                  <c:v>FY21</c:v>
                </c:pt>
                <c:pt idx="15">
                  <c:v>FY22</c:v>
                </c:pt>
                <c:pt idx="16">
                  <c:v>FY23</c:v>
                </c:pt>
                <c:pt idx="17">
                  <c:v>FY24</c:v>
                </c:pt>
                <c:pt idx="18">
                  <c:v>FY25</c:v>
                </c:pt>
              </c:strCache>
            </c:strRef>
          </c:cat>
          <c:val>
            <c:numRef>
              <c:f>data!$F$284:$F$302</c:f>
              <c:numCache>
                <c:formatCode>_(* #,##0_);_(* \(#,##0\);_(* "-"??_);_(@_)</c:formatCode>
                <c:ptCount val="19"/>
                <c:pt idx="1">
                  <c:v>86406</c:v>
                </c:pt>
                <c:pt idx="2">
                  <c:v>86010</c:v>
                </c:pt>
                <c:pt idx="3">
                  <c:v>184821</c:v>
                </c:pt>
                <c:pt idx="4">
                  <c:v>177994</c:v>
                </c:pt>
                <c:pt idx="5">
                  <c:v>124754</c:v>
                </c:pt>
                <c:pt idx="6">
                  <c:v>122536</c:v>
                </c:pt>
                <c:pt idx="7">
                  <c:v>142425</c:v>
                </c:pt>
                <c:pt idx="8">
                  <c:v>203901</c:v>
                </c:pt>
                <c:pt idx="9">
                  <c:v>295582</c:v>
                </c:pt>
                <c:pt idx="10">
                  <c:v>388556</c:v>
                </c:pt>
                <c:pt idx="11">
                  <c:v>551398</c:v>
                </c:pt>
                <c:pt idx="12">
                  <c:v>831919</c:v>
                </c:pt>
                <c:pt idx="13">
                  <c:v>447092</c:v>
                </c:pt>
                <c:pt idx="14">
                  <c:v>1230269</c:v>
                </c:pt>
                <c:pt idx="15">
                  <c:v>1537653</c:v>
                </c:pt>
                <c:pt idx="16">
                  <c:v>819719</c:v>
                </c:pt>
                <c:pt idx="17">
                  <c:v>142933</c:v>
                </c:pt>
                <c:pt idx="18">
                  <c:v>174360</c:v>
                </c:pt>
              </c:numCache>
            </c:numRef>
          </c:val>
          <c:extLst>
            <c:ext xmlns:c16="http://schemas.microsoft.com/office/drawing/2014/chart" uri="{C3380CC4-5D6E-409C-BE32-E72D297353CC}">
              <c16:uniqueId val="{00000001-945D-8C4D-83D4-812BA3AA57A9}"/>
            </c:ext>
          </c:extLst>
        </c:ser>
        <c:ser>
          <c:idx val="2"/>
          <c:order val="2"/>
          <c:tx>
            <c:strRef>
              <c:f>data!$G$283</c:f>
              <c:strCache>
                <c:ptCount val="1"/>
                <c:pt idx="0">
                  <c:v>VISITORS</c:v>
                </c:pt>
              </c:strCache>
            </c:strRef>
          </c:tx>
          <c:spPr>
            <a:solidFill>
              <a:schemeClr val="accent3"/>
            </a:solidFill>
            <a:ln>
              <a:noFill/>
            </a:ln>
            <a:effectLst/>
          </c:spPr>
          <c:invertIfNegative val="0"/>
          <c:cat>
            <c:strRef>
              <c:f>data!$A$284:$A$302</c:f>
              <c:strCache>
                <c:ptCount val="19"/>
                <c:pt idx="0">
                  <c:v>FY07</c:v>
                </c:pt>
                <c:pt idx="1">
                  <c:v>FY08</c:v>
                </c:pt>
                <c:pt idx="2">
                  <c:v>FY09</c:v>
                </c:pt>
                <c:pt idx="3">
                  <c:v>FY10</c:v>
                </c:pt>
                <c:pt idx="4">
                  <c:v>FY11</c:v>
                </c:pt>
                <c:pt idx="5">
                  <c:v>FY12</c:v>
                </c:pt>
                <c:pt idx="6">
                  <c:v>FY13</c:v>
                </c:pt>
                <c:pt idx="7">
                  <c:v>FY14</c:v>
                </c:pt>
                <c:pt idx="8">
                  <c:v>FY15</c:v>
                </c:pt>
                <c:pt idx="9">
                  <c:v>FY16</c:v>
                </c:pt>
                <c:pt idx="10">
                  <c:v>FY17</c:v>
                </c:pt>
                <c:pt idx="11">
                  <c:v>FY18</c:v>
                </c:pt>
                <c:pt idx="12">
                  <c:v>FY19</c:v>
                </c:pt>
                <c:pt idx="13">
                  <c:v>FY20</c:v>
                </c:pt>
                <c:pt idx="14">
                  <c:v>FY21</c:v>
                </c:pt>
                <c:pt idx="15">
                  <c:v>FY22</c:v>
                </c:pt>
                <c:pt idx="16">
                  <c:v>FY23</c:v>
                </c:pt>
                <c:pt idx="17">
                  <c:v>FY24</c:v>
                </c:pt>
                <c:pt idx="18">
                  <c:v>FY25</c:v>
                </c:pt>
              </c:strCache>
            </c:strRef>
          </c:cat>
          <c:val>
            <c:numRef>
              <c:f>data!$G$284:$G$302</c:f>
              <c:numCache>
                <c:formatCode>_(* #,##0_);_(* \(#,##0\);_(* "-"??_);_(@_)</c:formatCode>
                <c:ptCount val="19"/>
                <c:pt idx="1">
                  <c:v>4014</c:v>
                </c:pt>
                <c:pt idx="2">
                  <c:v>2548</c:v>
                </c:pt>
                <c:pt idx="3">
                  <c:v>8779</c:v>
                </c:pt>
                <c:pt idx="4">
                  <c:v>5236</c:v>
                </c:pt>
                <c:pt idx="5">
                  <c:v>7258</c:v>
                </c:pt>
                <c:pt idx="6">
                  <c:v>8039</c:v>
                </c:pt>
                <c:pt idx="7">
                  <c:v>13983</c:v>
                </c:pt>
                <c:pt idx="8">
                  <c:v>20779</c:v>
                </c:pt>
                <c:pt idx="9">
                  <c:v>41371</c:v>
                </c:pt>
                <c:pt idx="10">
                  <c:v>70696</c:v>
                </c:pt>
                <c:pt idx="11">
                  <c:v>106949</c:v>
                </c:pt>
                <c:pt idx="12">
                  <c:v>134217</c:v>
                </c:pt>
                <c:pt idx="13">
                  <c:v>102102</c:v>
                </c:pt>
                <c:pt idx="14">
                  <c:v>327218</c:v>
                </c:pt>
                <c:pt idx="15">
                  <c:v>285333</c:v>
                </c:pt>
                <c:pt idx="16">
                  <c:v>377944</c:v>
                </c:pt>
                <c:pt idx="17">
                  <c:v>61709</c:v>
                </c:pt>
                <c:pt idx="18">
                  <c:v>132327</c:v>
                </c:pt>
              </c:numCache>
            </c:numRef>
          </c:val>
          <c:extLst>
            <c:ext xmlns:c16="http://schemas.microsoft.com/office/drawing/2014/chart" uri="{C3380CC4-5D6E-409C-BE32-E72D297353CC}">
              <c16:uniqueId val="{00000002-945D-8C4D-83D4-812BA3AA57A9}"/>
            </c:ext>
          </c:extLst>
        </c:ser>
        <c:dLbls>
          <c:showLegendKey val="0"/>
          <c:showVal val="0"/>
          <c:showCatName val="0"/>
          <c:showSerName val="0"/>
          <c:showPercent val="0"/>
          <c:showBubbleSize val="0"/>
        </c:dLbls>
        <c:gapWidth val="219"/>
        <c:overlap val="-27"/>
        <c:axId val="361728256"/>
        <c:axId val="361713568"/>
      </c:barChart>
      <c:catAx>
        <c:axId val="361728256"/>
        <c:scaling>
          <c:orientation val="minMax"/>
        </c:scaling>
        <c:delete val="0"/>
        <c:axPos val="b"/>
        <c:title>
          <c:tx>
            <c:rich>
              <a:bodyPr rot="0" spcFirstLastPara="1" vertOverflow="ellipsis" vert="horz" wrap="square" anchor="ctr" anchorCtr="1"/>
              <a:lstStyle/>
              <a:p>
                <a:pPr>
                  <a:defRPr sz="1200" b="1" i="0" u="none" strike="noStrike" kern="1200" baseline="0">
                    <a:solidFill>
                      <a:sysClr val="windowText" lastClr="000000"/>
                    </a:solidFill>
                    <a:latin typeface="+mn-lt"/>
                    <a:ea typeface="+mn-ea"/>
                    <a:cs typeface="+mn-cs"/>
                  </a:defRPr>
                </a:pPr>
                <a:r>
                  <a:rPr lang="en-US" sz="1200" b="1">
                    <a:solidFill>
                      <a:sysClr val="windowText" lastClr="000000"/>
                    </a:solidFill>
                  </a:rPr>
                  <a:t>Fiscal Year</a:t>
                </a:r>
              </a:p>
            </c:rich>
          </c:tx>
          <c:layout>
            <c:manualLayout>
              <c:xMode val="edge"/>
              <c:yMode val="edge"/>
              <c:x val="0.51476271796111484"/>
              <c:y val="0.91895001711742552"/>
            </c:manualLayout>
          </c:layout>
          <c:overlay val="0"/>
          <c:spPr>
            <a:noFill/>
            <a:ln>
              <a:noFill/>
            </a:ln>
            <a:effectLst/>
          </c:spPr>
          <c:txPr>
            <a:bodyPr rot="0" spcFirstLastPara="1" vertOverflow="ellipsis" vert="horz" wrap="square" anchor="ctr" anchorCtr="1"/>
            <a:lstStyle/>
            <a:p>
              <a:pPr>
                <a:defRPr sz="1200" b="1" i="0" u="none" strike="noStrike" kern="1200" baseline="0">
                  <a:solidFill>
                    <a:sysClr val="windowText" lastClr="000000"/>
                  </a:solidFill>
                  <a:latin typeface="+mn-lt"/>
                  <a:ea typeface="+mn-ea"/>
                  <a:cs typeface="+mn-cs"/>
                </a:defRPr>
              </a:pPr>
              <a:endParaRPr lang="en-US"/>
            </a:p>
          </c:txPr>
        </c:title>
        <c:numFmt formatCode="General" sourceLinked="1"/>
        <c:majorTickMark val="out"/>
        <c:minorTickMark val="none"/>
        <c:tickLblPos val="nextTo"/>
        <c:spPr>
          <a:noFill/>
          <a:ln w="12700" cap="flat" cmpd="sng" algn="ctr">
            <a:solidFill>
              <a:schemeClr val="bg1">
                <a:lumMod val="50000"/>
              </a:schemeClr>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en-US"/>
          </a:p>
        </c:txPr>
        <c:crossAx val="361713568"/>
        <c:crosses val="autoZero"/>
        <c:auto val="1"/>
        <c:lblAlgn val="ctr"/>
        <c:lblOffset val="100"/>
        <c:noMultiLvlLbl val="0"/>
      </c:catAx>
      <c:valAx>
        <c:axId val="361713568"/>
        <c:scaling>
          <c:orientation val="minMax"/>
        </c:scaling>
        <c:delete val="0"/>
        <c:axPos val="l"/>
        <c:majorGridlines>
          <c:spPr>
            <a:ln w="9525" cap="flat" cmpd="sng" algn="ctr">
              <a:solidFill>
                <a:schemeClr val="bg1">
                  <a:lumMod val="50000"/>
                </a:schemeClr>
              </a:solidFill>
              <a:round/>
            </a:ln>
            <a:effectLst/>
          </c:spPr>
        </c:majorGridlines>
        <c:title>
          <c:tx>
            <c:rich>
              <a:bodyPr rot="-5400000" spcFirstLastPara="1" vertOverflow="ellipsis" vert="horz" wrap="square" anchor="ctr" anchorCtr="1"/>
              <a:lstStyle/>
              <a:p>
                <a:pPr>
                  <a:defRPr sz="1200" b="1" i="0" u="none" strike="noStrike" kern="1200" baseline="0">
                    <a:solidFill>
                      <a:sysClr val="windowText" lastClr="000000"/>
                    </a:solidFill>
                    <a:latin typeface="+mn-lt"/>
                    <a:ea typeface="+mn-ea"/>
                    <a:cs typeface="+mn-cs"/>
                  </a:defRPr>
                </a:pPr>
                <a:r>
                  <a:rPr lang="en-US" sz="1200" b="1">
                    <a:solidFill>
                      <a:sysClr val="windowText" lastClr="000000"/>
                    </a:solidFill>
                  </a:rPr>
                  <a:t>Number </a:t>
                </a:r>
              </a:p>
            </c:rich>
          </c:tx>
          <c:layout>
            <c:manualLayout>
              <c:xMode val="edge"/>
              <c:yMode val="edge"/>
              <c:x val="3.3999234192006499E-3"/>
              <c:y val="0.346614823753157"/>
            </c:manualLayout>
          </c:layout>
          <c:overlay val="0"/>
          <c:spPr>
            <a:noFill/>
            <a:ln>
              <a:noFill/>
            </a:ln>
            <a:effectLst/>
          </c:spPr>
          <c:txPr>
            <a:bodyPr rot="-5400000" spcFirstLastPara="1" vertOverflow="ellipsis" vert="horz" wrap="square" anchor="ctr" anchorCtr="1"/>
            <a:lstStyle/>
            <a:p>
              <a:pPr>
                <a:defRPr sz="1200" b="1" i="0" u="none" strike="noStrike" kern="1200" baseline="0">
                  <a:solidFill>
                    <a:sysClr val="windowText" lastClr="000000"/>
                  </a:solidFill>
                  <a:latin typeface="+mn-lt"/>
                  <a:ea typeface="+mn-ea"/>
                  <a:cs typeface="+mn-cs"/>
                </a:defRPr>
              </a:pPr>
              <a:endParaRPr lang="en-US"/>
            </a:p>
          </c:txPr>
        </c:title>
        <c:numFmt formatCode="#,##0" sourceLinked="0"/>
        <c:majorTickMark val="out"/>
        <c:minorTickMark val="none"/>
        <c:tickLblPos val="nextTo"/>
        <c:spPr>
          <a:noFill/>
          <a:ln>
            <a:solidFill>
              <a:schemeClr val="bg1">
                <a:lumMod val="50000"/>
              </a:schemeClr>
            </a:solid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en-US"/>
          </a:p>
        </c:txPr>
        <c:crossAx val="361728256"/>
        <c:crosses val="autoZero"/>
        <c:crossBetween val="between"/>
      </c:valAx>
      <c:spPr>
        <a:noFill/>
        <a:ln>
          <a:solidFill>
            <a:schemeClr val="bg1">
              <a:lumMod val="50000"/>
            </a:schemeClr>
          </a:solidFill>
        </a:ln>
        <a:effectLst/>
      </c:spPr>
    </c:plotArea>
    <c:legend>
      <c:legendPos val="b"/>
      <c:layout>
        <c:manualLayout>
          <c:xMode val="edge"/>
          <c:yMode val="edge"/>
          <c:x val="0.34775130045352498"/>
          <c:y val="0.167898975762826"/>
          <c:w val="0.43458209103110301"/>
          <c:h val="7.0069702211775803E-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bg1">
          <a:lumMod val="50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a:latin typeface="+mn-lt"/>
                <a:cs typeface="Arial" panose="020B0604020202020204" pitchFamily="34" charset="0"/>
              </a:defRPr>
            </a:pPr>
            <a:r>
              <a:rPr lang="en-US"/>
              <a:t>CDDIS Multi-Year Total Archive Volume Trend</a:t>
            </a:r>
          </a:p>
        </c:rich>
      </c:tx>
      <c:layout>
        <c:manualLayout>
          <c:xMode val="edge"/>
          <c:yMode val="edge"/>
          <c:x val="0.223544133657093"/>
          <c:y val="3.8412164179890997E-2"/>
        </c:manualLayout>
      </c:layout>
      <c:overlay val="0"/>
    </c:title>
    <c:autoTitleDeleted val="0"/>
    <c:plotArea>
      <c:layout>
        <c:manualLayout>
          <c:layoutTarget val="inner"/>
          <c:xMode val="edge"/>
          <c:yMode val="edge"/>
          <c:x val="0.156188786714438"/>
          <c:y val="0.18228668594254499"/>
          <c:w val="0.80487043883359"/>
          <c:h val="0.65076746334831104"/>
        </c:manualLayout>
      </c:layout>
      <c:barChart>
        <c:barDir val="col"/>
        <c:grouping val="clustered"/>
        <c:varyColors val="0"/>
        <c:ser>
          <c:idx val="0"/>
          <c:order val="0"/>
          <c:tx>
            <c:strRef>
              <c:f>data!$D$156</c:f>
              <c:strCache>
                <c:ptCount val="1"/>
                <c:pt idx="0">
                  <c:v>CDDIS</c:v>
                </c:pt>
              </c:strCache>
            </c:strRef>
          </c:tx>
          <c:spPr>
            <a:solidFill>
              <a:schemeClr val="accent2">
                <a:lumMod val="75000"/>
              </a:schemeClr>
            </a:solidFill>
          </c:spPr>
          <c:invertIfNegative val="0"/>
          <c:cat>
            <c:strRef>
              <c:f>data!$A$157:$A$174</c:f>
              <c:strCache>
                <c:ptCount val="18"/>
                <c:pt idx="0">
                  <c:v>FY08</c:v>
                </c:pt>
                <c:pt idx="1">
                  <c:v>FY09</c:v>
                </c:pt>
                <c:pt idx="2">
                  <c:v>FY10</c:v>
                </c:pt>
                <c:pt idx="3">
                  <c:v>FY11</c:v>
                </c:pt>
                <c:pt idx="4">
                  <c:v>FY12</c:v>
                </c:pt>
                <c:pt idx="5">
                  <c:v>FY13</c:v>
                </c:pt>
                <c:pt idx="6">
                  <c:v>FY14</c:v>
                </c:pt>
                <c:pt idx="7">
                  <c:v>FY15</c:v>
                </c:pt>
                <c:pt idx="8">
                  <c:v>FY16</c:v>
                </c:pt>
                <c:pt idx="9">
                  <c:v>FY17</c:v>
                </c:pt>
                <c:pt idx="10">
                  <c:v>FY18</c:v>
                </c:pt>
                <c:pt idx="11">
                  <c:v>FY19</c:v>
                </c:pt>
                <c:pt idx="12">
                  <c:v>FY20</c:v>
                </c:pt>
                <c:pt idx="13">
                  <c:v>FY21</c:v>
                </c:pt>
                <c:pt idx="14">
                  <c:v>FY22</c:v>
                </c:pt>
                <c:pt idx="15">
                  <c:v>FY23</c:v>
                </c:pt>
                <c:pt idx="16">
                  <c:v>FY24</c:v>
                </c:pt>
                <c:pt idx="17">
                  <c:v>FY25</c:v>
                </c:pt>
              </c:strCache>
            </c:strRef>
          </c:cat>
          <c:val>
            <c:numRef>
              <c:f>data!$D$157:$D$174</c:f>
              <c:numCache>
                <c:formatCode>_(* #,##0.00_);_(* \(#,##0.00\);_(* "-"??_);_(@_)</c:formatCode>
                <c:ptCount val="18"/>
                <c:pt idx="3">
                  <c:v>6.03</c:v>
                </c:pt>
                <c:pt idx="4">
                  <c:v>6.74</c:v>
                </c:pt>
                <c:pt idx="5">
                  <c:v>7.9962792968749996</c:v>
                </c:pt>
                <c:pt idx="6">
                  <c:v>11.422000000000001</c:v>
                </c:pt>
                <c:pt idx="7">
                  <c:v>13.209765624999999</c:v>
                </c:pt>
                <c:pt idx="8">
                  <c:v>17.5</c:v>
                </c:pt>
                <c:pt idx="9">
                  <c:v>20.16</c:v>
                </c:pt>
                <c:pt idx="10">
                  <c:v>16.437886757196779</c:v>
                </c:pt>
                <c:pt idx="11">
                  <c:v>30.91</c:v>
                </c:pt>
                <c:pt idx="12">
                  <c:v>38.22</c:v>
                </c:pt>
                <c:pt idx="13">
                  <c:v>51.2</c:v>
                </c:pt>
                <c:pt idx="14">
                  <c:v>67.387324218749995</c:v>
                </c:pt>
                <c:pt idx="15">
                  <c:v>128.66999999999999</c:v>
                </c:pt>
                <c:pt idx="16">
                  <c:v>122.81677734375</c:v>
                </c:pt>
                <c:pt idx="17">
                  <c:v>139.74819335937499</c:v>
                </c:pt>
              </c:numCache>
            </c:numRef>
          </c:val>
          <c:extLst>
            <c:ext xmlns:c16="http://schemas.microsoft.com/office/drawing/2014/chart" uri="{C3380CC4-5D6E-409C-BE32-E72D297353CC}">
              <c16:uniqueId val="{00000000-ABA1-654C-A331-88093BE5F924}"/>
            </c:ext>
          </c:extLst>
        </c:ser>
        <c:dLbls>
          <c:showLegendKey val="0"/>
          <c:showVal val="0"/>
          <c:showCatName val="0"/>
          <c:showSerName val="0"/>
          <c:showPercent val="0"/>
          <c:showBubbleSize val="0"/>
        </c:dLbls>
        <c:gapWidth val="150"/>
        <c:axId val="361714656"/>
        <c:axId val="411529200"/>
      </c:barChart>
      <c:catAx>
        <c:axId val="361714656"/>
        <c:scaling>
          <c:orientation val="minMax"/>
        </c:scaling>
        <c:delete val="0"/>
        <c:axPos val="b"/>
        <c:title>
          <c:tx>
            <c:rich>
              <a:bodyPr/>
              <a:lstStyle/>
              <a:p>
                <a:pPr>
                  <a:defRPr sz="1200"/>
                </a:pPr>
                <a:r>
                  <a:rPr lang="en-US" sz="1200"/>
                  <a:t>Fiscal Year</a:t>
                </a:r>
              </a:p>
            </c:rich>
          </c:tx>
          <c:layout>
            <c:manualLayout>
              <c:xMode val="edge"/>
              <c:yMode val="edge"/>
              <c:x val="0.49999567596515698"/>
              <c:y val="0.91411120752953801"/>
            </c:manualLayout>
          </c:layout>
          <c:overlay val="0"/>
        </c:title>
        <c:numFmt formatCode="General" sourceLinked="0"/>
        <c:majorTickMark val="out"/>
        <c:minorTickMark val="none"/>
        <c:tickLblPos val="nextTo"/>
        <c:txPr>
          <a:bodyPr/>
          <a:lstStyle/>
          <a:p>
            <a:pPr>
              <a:defRPr sz="1200" b="0" baseline="0">
                <a:latin typeface="+mn-lt"/>
                <a:cs typeface="Arial" panose="020B0604020202020204" pitchFamily="34" charset="0"/>
              </a:defRPr>
            </a:pPr>
            <a:endParaRPr lang="en-US"/>
          </a:p>
        </c:txPr>
        <c:crossAx val="411529200"/>
        <c:crosses val="autoZero"/>
        <c:auto val="1"/>
        <c:lblAlgn val="ctr"/>
        <c:lblOffset val="100"/>
        <c:noMultiLvlLbl val="0"/>
      </c:catAx>
      <c:valAx>
        <c:axId val="411529200"/>
        <c:scaling>
          <c:orientation val="minMax"/>
        </c:scaling>
        <c:delete val="0"/>
        <c:axPos val="l"/>
        <c:majorGridlines/>
        <c:title>
          <c:tx>
            <c:rich>
              <a:bodyPr/>
              <a:lstStyle/>
              <a:p>
                <a:pPr>
                  <a:defRPr sz="1200"/>
                </a:pPr>
                <a:r>
                  <a:rPr lang="en-US" sz="1200"/>
                  <a:t>Volume (TB)</a:t>
                </a:r>
              </a:p>
            </c:rich>
          </c:tx>
          <c:layout>
            <c:manualLayout>
              <c:xMode val="edge"/>
              <c:yMode val="edge"/>
              <c:x val="1.62849872773537E-2"/>
              <c:y val="0.34790157257870402"/>
            </c:manualLayout>
          </c:layout>
          <c:overlay val="0"/>
        </c:title>
        <c:numFmt formatCode="#,##0" sourceLinked="0"/>
        <c:majorTickMark val="out"/>
        <c:minorTickMark val="none"/>
        <c:tickLblPos val="nextTo"/>
        <c:spPr>
          <a:ln>
            <a:solidFill>
              <a:schemeClr val="bg1">
                <a:lumMod val="50000"/>
              </a:schemeClr>
            </a:solidFill>
          </a:ln>
        </c:spPr>
        <c:txPr>
          <a:bodyPr/>
          <a:lstStyle/>
          <a:p>
            <a:pPr>
              <a:defRPr sz="1200">
                <a:latin typeface="+mn-lt"/>
                <a:cs typeface="Arial" panose="020B0604020202020204" pitchFamily="34" charset="0"/>
              </a:defRPr>
            </a:pPr>
            <a:endParaRPr lang="en-US"/>
          </a:p>
        </c:txPr>
        <c:crossAx val="361714656"/>
        <c:crosses val="autoZero"/>
        <c:crossBetween val="between"/>
      </c:valAx>
      <c:spPr>
        <a:ln>
          <a:solidFill>
            <a:schemeClr val="bg1">
              <a:lumMod val="50000"/>
            </a:schemeClr>
          </a:solidFill>
          <a:prstDash val="solid"/>
        </a:ln>
      </c:spPr>
    </c:plotArea>
    <c:plotVisOnly val="1"/>
    <c:dispBlanksAs val="gap"/>
    <c:showDLblsOverMax val="0"/>
  </c:chart>
  <c:printSettings>
    <c:headerFooter/>
    <c:pageMargins b="0.750000000000004" l="0.70000000000000095" r="0.70000000000000095" t="0.750000000000004"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10.xml.rels><?xml version="1.0" encoding="UTF-8" standalone="yes"?>
<Relationships xmlns="http://schemas.openxmlformats.org/package/2006/relationships"><Relationship Id="rId3" Type="http://schemas.openxmlformats.org/officeDocument/2006/relationships/chart" Target="../charts/chart15.xml"/><Relationship Id="rId2" Type="http://schemas.openxmlformats.org/officeDocument/2006/relationships/chart" Target="../charts/chart14.xml"/><Relationship Id="rId1" Type="http://schemas.openxmlformats.org/officeDocument/2006/relationships/chart" Target="../charts/chart13.xml"/><Relationship Id="rId4" Type="http://schemas.openxmlformats.org/officeDocument/2006/relationships/chart" Target="../charts/chart16.xml"/></Relationships>
</file>

<file path=xl/drawings/_rels/drawing13.xml.rels><?xml version="1.0" encoding="UTF-8" standalone="yes"?>
<Relationships xmlns="http://schemas.openxmlformats.org/package/2006/relationships"><Relationship Id="rId3" Type="http://schemas.openxmlformats.org/officeDocument/2006/relationships/chart" Target="../charts/chart19.xml"/><Relationship Id="rId2" Type="http://schemas.openxmlformats.org/officeDocument/2006/relationships/chart" Target="../charts/chart18.xml"/><Relationship Id="rId1" Type="http://schemas.openxmlformats.org/officeDocument/2006/relationships/chart" Target="../charts/chart17.xml"/><Relationship Id="rId4" Type="http://schemas.openxmlformats.org/officeDocument/2006/relationships/chart" Target="../charts/chart20.xml"/></Relationships>
</file>

<file path=xl/drawings/_rels/drawing16.xml.rels><?xml version="1.0" encoding="UTF-8" standalone="yes"?>
<Relationships xmlns="http://schemas.openxmlformats.org/package/2006/relationships"><Relationship Id="rId3" Type="http://schemas.openxmlformats.org/officeDocument/2006/relationships/chart" Target="../charts/chart23.xml"/><Relationship Id="rId2" Type="http://schemas.openxmlformats.org/officeDocument/2006/relationships/chart" Target="../charts/chart22.xml"/><Relationship Id="rId1" Type="http://schemas.openxmlformats.org/officeDocument/2006/relationships/chart" Target="../charts/chart21.xml"/><Relationship Id="rId4" Type="http://schemas.openxmlformats.org/officeDocument/2006/relationships/chart" Target="../charts/chart24.xml"/></Relationships>
</file>

<file path=xl/drawings/_rels/drawing19.xml.rels><?xml version="1.0" encoding="UTF-8" standalone="yes"?>
<Relationships xmlns="http://schemas.openxmlformats.org/package/2006/relationships"><Relationship Id="rId3" Type="http://schemas.openxmlformats.org/officeDocument/2006/relationships/chart" Target="../charts/chart27.xml"/><Relationship Id="rId2" Type="http://schemas.openxmlformats.org/officeDocument/2006/relationships/chart" Target="../charts/chart26.xml"/><Relationship Id="rId1" Type="http://schemas.openxmlformats.org/officeDocument/2006/relationships/chart" Target="../charts/chart25.xml"/><Relationship Id="rId4" Type="http://schemas.openxmlformats.org/officeDocument/2006/relationships/chart" Target="../charts/chart28.xml"/></Relationships>
</file>

<file path=xl/drawings/_rels/drawing22.xml.rels><?xml version="1.0" encoding="UTF-8" standalone="yes"?>
<Relationships xmlns="http://schemas.openxmlformats.org/package/2006/relationships"><Relationship Id="rId3" Type="http://schemas.openxmlformats.org/officeDocument/2006/relationships/chart" Target="../charts/chart31.xml"/><Relationship Id="rId2" Type="http://schemas.openxmlformats.org/officeDocument/2006/relationships/chart" Target="../charts/chart30.xml"/><Relationship Id="rId1" Type="http://schemas.openxmlformats.org/officeDocument/2006/relationships/chart" Target="../charts/chart29.xml"/><Relationship Id="rId4" Type="http://schemas.openxmlformats.org/officeDocument/2006/relationships/chart" Target="../charts/chart32.xml"/></Relationships>
</file>

<file path=xl/drawings/_rels/drawing25.xml.rels><?xml version="1.0" encoding="UTF-8" standalone="yes"?>
<Relationships xmlns="http://schemas.openxmlformats.org/package/2006/relationships"><Relationship Id="rId3" Type="http://schemas.openxmlformats.org/officeDocument/2006/relationships/chart" Target="../charts/chart35.xml"/><Relationship Id="rId2" Type="http://schemas.openxmlformats.org/officeDocument/2006/relationships/chart" Target="../charts/chart34.xml"/><Relationship Id="rId1" Type="http://schemas.openxmlformats.org/officeDocument/2006/relationships/chart" Target="../charts/chart33.xml"/><Relationship Id="rId4" Type="http://schemas.openxmlformats.org/officeDocument/2006/relationships/chart" Target="../charts/chart36.xml"/></Relationships>
</file>

<file path=xl/drawings/_rels/drawing28.xml.rels><?xml version="1.0" encoding="UTF-8" standalone="yes"?>
<Relationships xmlns="http://schemas.openxmlformats.org/package/2006/relationships"><Relationship Id="rId3" Type="http://schemas.openxmlformats.org/officeDocument/2006/relationships/chart" Target="../charts/chart39.xml"/><Relationship Id="rId2" Type="http://schemas.openxmlformats.org/officeDocument/2006/relationships/chart" Target="../charts/chart38.xml"/><Relationship Id="rId1" Type="http://schemas.openxmlformats.org/officeDocument/2006/relationships/chart" Target="../charts/chart37.xml"/><Relationship Id="rId4" Type="http://schemas.openxmlformats.org/officeDocument/2006/relationships/chart" Target="../charts/chart40.xml"/></Relationships>
</file>

<file path=xl/drawings/_rels/drawing32.xml.rels><?xml version="1.0" encoding="UTF-8" standalone="yes"?>
<Relationships xmlns="http://schemas.openxmlformats.org/package/2006/relationships"><Relationship Id="rId3" Type="http://schemas.openxmlformats.org/officeDocument/2006/relationships/chart" Target="../charts/chart43.xml"/><Relationship Id="rId2" Type="http://schemas.openxmlformats.org/officeDocument/2006/relationships/chart" Target="../charts/chart42.xml"/><Relationship Id="rId1" Type="http://schemas.openxmlformats.org/officeDocument/2006/relationships/chart" Target="../charts/chart41.xml"/><Relationship Id="rId4" Type="http://schemas.openxmlformats.org/officeDocument/2006/relationships/chart" Target="../charts/chart44.xml"/></Relationships>
</file>

<file path=xl/drawings/_rels/drawing35.xml.rels><?xml version="1.0" encoding="UTF-8" standalone="yes"?>
<Relationships xmlns="http://schemas.openxmlformats.org/package/2006/relationships"><Relationship Id="rId3" Type="http://schemas.openxmlformats.org/officeDocument/2006/relationships/chart" Target="../charts/chart47.xml"/><Relationship Id="rId2" Type="http://schemas.openxmlformats.org/officeDocument/2006/relationships/chart" Target="../charts/chart46.xml"/><Relationship Id="rId1" Type="http://schemas.openxmlformats.org/officeDocument/2006/relationships/chart" Target="../charts/chart45.xml"/><Relationship Id="rId4" Type="http://schemas.openxmlformats.org/officeDocument/2006/relationships/chart" Target="../charts/chart48.xml"/></Relationships>
</file>

<file path=xl/drawings/_rels/drawing38.xml.rels><?xml version="1.0" encoding="UTF-8" standalone="yes"?>
<Relationships xmlns="http://schemas.openxmlformats.org/package/2006/relationships"><Relationship Id="rId3" Type="http://schemas.openxmlformats.org/officeDocument/2006/relationships/chart" Target="../charts/chart51.xml"/><Relationship Id="rId2" Type="http://schemas.openxmlformats.org/officeDocument/2006/relationships/chart" Target="../charts/chart50.xml"/><Relationship Id="rId1" Type="http://schemas.openxmlformats.org/officeDocument/2006/relationships/chart" Target="../charts/chart49.xml"/><Relationship Id="rId4" Type="http://schemas.openxmlformats.org/officeDocument/2006/relationships/chart" Target="../charts/chart52.xml"/></Relationships>
</file>

<file path=xl/drawings/_rels/drawing4.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 Id="rId4" Type="http://schemas.openxmlformats.org/officeDocument/2006/relationships/chart" Target="../charts/chart8.xml"/></Relationships>
</file>

<file path=xl/drawings/_rels/drawing7.xml.rels><?xml version="1.0" encoding="UTF-8" standalone="yes"?>
<Relationships xmlns="http://schemas.openxmlformats.org/package/2006/relationships"><Relationship Id="rId3" Type="http://schemas.openxmlformats.org/officeDocument/2006/relationships/chart" Target="../charts/chart11.xml"/><Relationship Id="rId2" Type="http://schemas.openxmlformats.org/officeDocument/2006/relationships/chart" Target="../charts/chart10.xml"/><Relationship Id="rId1" Type="http://schemas.openxmlformats.org/officeDocument/2006/relationships/chart" Target="../charts/chart9.xml"/><Relationship Id="rId4" Type="http://schemas.openxmlformats.org/officeDocument/2006/relationships/chart" Target="../charts/chart12.xml"/></Relationships>
</file>

<file path=xl/drawings/drawing1.xml><?xml version="1.0" encoding="utf-8"?>
<xdr:wsDr xmlns:xdr="http://schemas.openxmlformats.org/drawingml/2006/spreadsheetDrawing" xmlns:a="http://schemas.openxmlformats.org/drawingml/2006/main">
  <xdr:twoCellAnchor>
    <xdr:from>
      <xdr:col>1</xdr:col>
      <xdr:colOff>10582</xdr:colOff>
      <xdr:row>12</xdr:row>
      <xdr:rowOff>219248</xdr:rowOff>
    </xdr:from>
    <xdr:to>
      <xdr:col>3</xdr:col>
      <xdr:colOff>1386416</xdr:colOff>
      <xdr:row>21</xdr:row>
      <xdr:rowOff>306916</xdr:rowOff>
    </xdr:to>
    <xdr:graphicFrame macro="">
      <xdr:nvGraphicFramePr>
        <xdr:cNvPr id="2" name="Chart 1">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14111</xdr:colOff>
      <xdr:row>22</xdr:row>
      <xdr:rowOff>151695</xdr:rowOff>
    </xdr:from>
    <xdr:to>
      <xdr:col>11</xdr:col>
      <xdr:colOff>0</xdr:colOff>
      <xdr:row>32</xdr:row>
      <xdr:rowOff>0</xdr:rowOff>
    </xdr:to>
    <xdr:graphicFrame macro="">
      <xdr:nvGraphicFramePr>
        <xdr:cNvPr id="3" name="Chart 2">
          <a:extLst>
            <a:ext uri="{FF2B5EF4-FFF2-40B4-BE49-F238E27FC236}">
              <a16:creationId xmlns:a16="http://schemas.microsoft.com/office/drawing/2014/main" id="{00000000-0008-0000-0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14110</xdr:colOff>
      <xdr:row>12</xdr:row>
      <xdr:rowOff>190500</xdr:rowOff>
    </xdr:from>
    <xdr:to>
      <xdr:col>10</xdr:col>
      <xdr:colOff>2017888</xdr:colOff>
      <xdr:row>21</xdr:row>
      <xdr:rowOff>268112</xdr:rowOff>
    </xdr:to>
    <xdr:graphicFrame macro="">
      <xdr:nvGraphicFramePr>
        <xdr:cNvPr id="6" name="Chart 5">
          <a:extLst>
            <a:ext uri="{FF2B5EF4-FFF2-40B4-BE49-F238E27FC236}">
              <a16:creationId xmlns:a16="http://schemas.microsoft.com/office/drawing/2014/main" id="{00000000-0008-0000-02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18343</xdr:colOff>
      <xdr:row>22</xdr:row>
      <xdr:rowOff>102304</xdr:rowOff>
    </xdr:from>
    <xdr:to>
      <xdr:col>3</xdr:col>
      <xdr:colOff>1368778</xdr:colOff>
      <xdr:row>32</xdr:row>
      <xdr:rowOff>112886</xdr:rowOff>
    </xdr:to>
    <xdr:graphicFrame macro="">
      <xdr:nvGraphicFramePr>
        <xdr:cNvPr id="7" name="Chart 6">
          <a:extLst>
            <a:ext uri="{FF2B5EF4-FFF2-40B4-BE49-F238E27FC236}">
              <a16:creationId xmlns:a16="http://schemas.microsoft.com/office/drawing/2014/main" id="{00000000-0008-0000-02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1</xdr:col>
      <xdr:colOff>9071</xdr:colOff>
      <xdr:row>13</xdr:row>
      <xdr:rowOff>9597</xdr:rowOff>
    </xdr:from>
    <xdr:to>
      <xdr:col>4</xdr:col>
      <xdr:colOff>0</xdr:colOff>
      <xdr:row>22</xdr:row>
      <xdr:rowOff>211666</xdr:rowOff>
    </xdr:to>
    <xdr:graphicFrame macro="">
      <xdr:nvGraphicFramePr>
        <xdr:cNvPr id="2" name="Chart 1">
          <a:extLst>
            <a:ext uri="{FF2B5EF4-FFF2-40B4-BE49-F238E27FC236}">
              <a16:creationId xmlns:a16="http://schemas.microsoft.com/office/drawing/2014/main" id="{00000000-0008-0000-0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264079</xdr:colOff>
      <xdr:row>23</xdr:row>
      <xdr:rowOff>254907</xdr:rowOff>
    </xdr:from>
    <xdr:to>
      <xdr:col>11</xdr:col>
      <xdr:colOff>84667</xdr:colOff>
      <xdr:row>33</xdr:row>
      <xdr:rowOff>112889</xdr:rowOff>
    </xdr:to>
    <xdr:graphicFrame macro="">
      <xdr:nvGraphicFramePr>
        <xdr:cNvPr id="3" name="Chart 2">
          <a:extLst>
            <a:ext uri="{FF2B5EF4-FFF2-40B4-BE49-F238E27FC236}">
              <a16:creationId xmlns:a16="http://schemas.microsoft.com/office/drawing/2014/main" id="{00000000-0008-0000-05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2520</xdr:colOff>
      <xdr:row>13</xdr:row>
      <xdr:rowOff>9070</xdr:rowOff>
    </xdr:from>
    <xdr:to>
      <xdr:col>11</xdr:col>
      <xdr:colOff>49894</xdr:colOff>
      <xdr:row>22</xdr:row>
      <xdr:rowOff>185962</xdr:rowOff>
    </xdr:to>
    <xdr:graphicFrame macro="">
      <xdr:nvGraphicFramePr>
        <xdr:cNvPr id="5" name="Chart 4">
          <a:extLst>
            <a:ext uri="{FF2B5EF4-FFF2-40B4-BE49-F238E27FC236}">
              <a16:creationId xmlns:a16="http://schemas.microsoft.com/office/drawing/2014/main" id="{00000000-0008-0000-05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546804</xdr:colOff>
      <xdr:row>23</xdr:row>
      <xdr:rowOff>264582</xdr:rowOff>
    </xdr:from>
    <xdr:to>
      <xdr:col>4</xdr:col>
      <xdr:colOff>14110</xdr:colOff>
      <xdr:row>33</xdr:row>
      <xdr:rowOff>126999</xdr:rowOff>
    </xdr:to>
    <xdr:graphicFrame macro="">
      <xdr:nvGraphicFramePr>
        <xdr:cNvPr id="6" name="Chart 5">
          <a:extLst>
            <a:ext uri="{FF2B5EF4-FFF2-40B4-BE49-F238E27FC236}">
              <a16:creationId xmlns:a16="http://schemas.microsoft.com/office/drawing/2014/main" id="{00000000-0008-0000-05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xdr:col>
      <xdr:colOff>437444</xdr:colOff>
      <xdr:row>29</xdr:row>
      <xdr:rowOff>98778</xdr:rowOff>
    </xdr:from>
    <xdr:to>
      <xdr:col>11</xdr:col>
      <xdr:colOff>84668</xdr:colOff>
      <xdr:row>31</xdr:row>
      <xdr:rowOff>197556</xdr:rowOff>
    </xdr:to>
    <xdr:sp macro="" textlink="">
      <xdr:nvSpPr>
        <xdr:cNvPr id="7" name="TextBox 1">
          <a:extLst>
            <a:ext uri="{FF2B5EF4-FFF2-40B4-BE49-F238E27FC236}">
              <a16:creationId xmlns:a16="http://schemas.microsoft.com/office/drawing/2014/main" id="{00000000-0008-0000-0500-000007000000}"/>
            </a:ext>
          </a:extLst>
        </xdr:cNvPr>
        <xdr:cNvSpPr txBox="1"/>
      </xdr:nvSpPr>
      <xdr:spPr>
        <a:xfrm>
          <a:off x="11938000" y="8692445"/>
          <a:ext cx="3033890" cy="747889"/>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en-US" sz="1100" b="1">
              <a:latin typeface="Arial" panose="020B0604020202020204" pitchFamily="34" charset="0"/>
              <a:cs typeface="Arial" panose="020B0604020202020204" pitchFamily="34" charset="0"/>
            </a:rPr>
            <a:t>FY20 and onward this chart will not </a:t>
          </a:r>
        </a:p>
        <a:p>
          <a:r>
            <a:rPr lang="en-US" sz="1100" b="1">
              <a:latin typeface="Arial" panose="020B0604020202020204" pitchFamily="34" charset="0"/>
              <a:cs typeface="Arial" panose="020B0604020202020204" pitchFamily="34" charset="0"/>
            </a:rPr>
            <a:t>have data available due to unavailability </a:t>
          </a:r>
        </a:p>
        <a:p>
          <a:r>
            <a:rPr lang="en-US" sz="1100" b="1">
              <a:latin typeface="Arial" panose="020B0604020202020204" pitchFamily="34" charset="0"/>
              <a:cs typeface="Arial" panose="020B0604020202020204" pitchFamily="34" charset="0"/>
            </a:rPr>
            <a:t>of dual user information.</a:t>
          </a:r>
        </a:p>
      </xdr:txBody>
    </xdr:sp>
    <xdr:clientData/>
  </xdr:twoCellAnchor>
</xdr:wsDr>
</file>

<file path=xl/drawings/drawing11.xml><?xml version="1.0" encoding="utf-8"?>
<c:userShapes xmlns:c="http://schemas.openxmlformats.org/drawingml/2006/chart">
  <cdr:relSizeAnchor xmlns:cdr="http://schemas.openxmlformats.org/drawingml/2006/chartDrawing">
    <cdr:from>
      <cdr:x>0.13796</cdr:x>
      <cdr:y>0.01203</cdr:y>
    </cdr:from>
    <cdr:to>
      <cdr:x>0.96033</cdr:x>
      <cdr:y>0.13151</cdr:y>
    </cdr:to>
    <cdr:sp macro="" textlink="">
      <cdr:nvSpPr>
        <cdr:cNvPr id="2" name="TextBox 1"/>
        <cdr:cNvSpPr txBox="1"/>
      </cdr:nvSpPr>
      <cdr:spPr>
        <a:xfrm xmlns:a="http://schemas.openxmlformats.org/drawingml/2006/main">
          <a:off x="883390" y="36164"/>
          <a:ext cx="5266031" cy="359178"/>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marR="0" indent="0" defTabSz="914400" rtl="0" eaLnBrk="1" fontAlgn="auto" latinLnBrk="0" hangingPunct="1">
            <a:lnSpc>
              <a:spcPct val="100000"/>
            </a:lnSpc>
            <a:spcBef>
              <a:spcPts val="0"/>
            </a:spcBef>
            <a:spcAft>
              <a:spcPts val="0"/>
            </a:spcAft>
            <a:buClrTx/>
            <a:buSzTx/>
            <a:buFontTx/>
            <a:buNone/>
            <a:tabLst/>
            <a:defRPr/>
          </a:pPr>
          <a:r>
            <a:rPr lang="en-US" sz="1600" b="1" i="0" baseline="0">
              <a:solidFill>
                <a:schemeClr val="tx1"/>
              </a:solidFill>
              <a:effectLst/>
              <a:latin typeface="+mn-lt"/>
              <a:ea typeface="+mn-ea"/>
              <a:cs typeface="+mn-cs"/>
            </a:rPr>
            <a:t>GESDISC Yearly Percentage of Web Users  Downloading Data</a:t>
          </a:r>
          <a:endParaRPr lang="en-US" sz="1600">
            <a:solidFill>
              <a:schemeClr val="tx1"/>
            </a:solidFill>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0.23853</cdr:x>
      <cdr:y>0.01378</cdr:y>
    </cdr:from>
    <cdr:to>
      <cdr:x>0.9039</cdr:x>
      <cdr:y>0.11168</cdr:y>
    </cdr:to>
    <cdr:sp macro="" textlink="">
      <cdr:nvSpPr>
        <cdr:cNvPr id="3" name="TextBox 2"/>
        <cdr:cNvSpPr txBox="1"/>
      </cdr:nvSpPr>
      <cdr:spPr>
        <a:xfrm xmlns:a="http://schemas.openxmlformats.org/drawingml/2006/main">
          <a:off x="1451568" y="39365"/>
          <a:ext cx="4049052" cy="279749"/>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pPr marL="0" marR="0" indent="0" defTabSz="914400" rtl="0" eaLnBrk="1" fontAlgn="auto" latinLnBrk="0" hangingPunct="1">
            <a:lnSpc>
              <a:spcPct val="100000"/>
            </a:lnSpc>
            <a:spcBef>
              <a:spcPts val="0"/>
            </a:spcBef>
            <a:spcAft>
              <a:spcPts val="0"/>
            </a:spcAft>
            <a:buClrTx/>
            <a:buSzTx/>
            <a:buFontTx/>
            <a:buNone/>
            <a:tabLst/>
            <a:defRPr/>
          </a:pPr>
          <a:r>
            <a:rPr lang="en-US" sz="1600" b="1" i="0" baseline="0">
              <a:effectLst/>
              <a:latin typeface="+mn-lt"/>
              <a:ea typeface="+mn-ea"/>
              <a:cs typeface="+mn-cs"/>
            </a:rPr>
            <a:t>GESDISC Multi-Year Trend for Web Accesses-GA</a:t>
          </a:r>
          <a:endParaRPr lang="en-US" sz="1600">
            <a:effectLst/>
          </a:endParaRPr>
        </a:p>
        <a:p xmlns:a="http://schemas.openxmlformats.org/drawingml/2006/main">
          <a:endParaRPr lang="en-US" sz="1600"/>
        </a:p>
      </cdr:txBody>
    </cdr:sp>
  </cdr:relSizeAnchor>
</c:userShapes>
</file>

<file path=xl/drawings/drawing13.xml><?xml version="1.0" encoding="utf-8"?>
<xdr:wsDr xmlns:xdr="http://schemas.openxmlformats.org/drawingml/2006/spreadsheetDrawing" xmlns:a="http://schemas.openxmlformats.org/drawingml/2006/main">
  <xdr:twoCellAnchor>
    <xdr:from>
      <xdr:col>0</xdr:col>
      <xdr:colOff>546805</xdr:colOff>
      <xdr:row>13</xdr:row>
      <xdr:rowOff>21692</xdr:rowOff>
    </xdr:from>
    <xdr:to>
      <xdr:col>3</xdr:col>
      <xdr:colOff>1397000</xdr:colOff>
      <xdr:row>22</xdr:row>
      <xdr:rowOff>194028</xdr:rowOff>
    </xdr:to>
    <xdr:graphicFrame macro="">
      <xdr:nvGraphicFramePr>
        <xdr:cNvPr id="2" name="Chart 1">
          <a:extLst>
            <a:ext uri="{FF2B5EF4-FFF2-40B4-BE49-F238E27FC236}">
              <a16:creationId xmlns:a16="http://schemas.microsoft.com/office/drawing/2014/main" id="{00000000-0008-0000-0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3</xdr:colOff>
      <xdr:row>23</xdr:row>
      <xdr:rowOff>77609</xdr:rowOff>
    </xdr:from>
    <xdr:to>
      <xdr:col>11</xdr:col>
      <xdr:colOff>1</xdr:colOff>
      <xdr:row>32</xdr:row>
      <xdr:rowOff>310444</xdr:rowOff>
    </xdr:to>
    <xdr:graphicFrame macro="">
      <xdr:nvGraphicFramePr>
        <xdr:cNvPr id="3" name="Chart 2">
          <a:extLst>
            <a:ext uri="{FF2B5EF4-FFF2-40B4-BE49-F238E27FC236}">
              <a16:creationId xmlns:a16="http://schemas.microsoft.com/office/drawing/2014/main" id="{00000000-0008-0000-06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264584</xdr:colOff>
      <xdr:row>12</xdr:row>
      <xdr:rowOff>222252</xdr:rowOff>
    </xdr:from>
    <xdr:to>
      <xdr:col>10</xdr:col>
      <xdr:colOff>2229556</xdr:colOff>
      <xdr:row>22</xdr:row>
      <xdr:rowOff>155222</xdr:rowOff>
    </xdr:to>
    <xdr:graphicFrame macro="">
      <xdr:nvGraphicFramePr>
        <xdr:cNvPr id="5" name="Chart 4">
          <a:extLst>
            <a:ext uri="{FF2B5EF4-FFF2-40B4-BE49-F238E27FC236}">
              <a16:creationId xmlns:a16="http://schemas.microsoft.com/office/drawing/2014/main" id="{00000000-0008-0000-06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17640</xdr:colOff>
      <xdr:row>23</xdr:row>
      <xdr:rowOff>84666</xdr:rowOff>
    </xdr:from>
    <xdr:to>
      <xdr:col>4</xdr:col>
      <xdr:colOff>0</xdr:colOff>
      <xdr:row>32</xdr:row>
      <xdr:rowOff>268111</xdr:rowOff>
    </xdr:to>
    <xdr:graphicFrame macro="">
      <xdr:nvGraphicFramePr>
        <xdr:cNvPr id="6" name="Chart 5">
          <a:extLst>
            <a:ext uri="{FF2B5EF4-FFF2-40B4-BE49-F238E27FC236}">
              <a16:creationId xmlns:a16="http://schemas.microsoft.com/office/drawing/2014/main" id="{00000000-0008-0000-06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xdr:col>
      <xdr:colOff>1058332</xdr:colOff>
      <xdr:row>29</xdr:row>
      <xdr:rowOff>169334</xdr:rowOff>
    </xdr:from>
    <xdr:to>
      <xdr:col>10</xdr:col>
      <xdr:colOff>2130774</xdr:colOff>
      <xdr:row>31</xdr:row>
      <xdr:rowOff>112890</xdr:rowOff>
    </xdr:to>
    <xdr:sp macro="" textlink="">
      <xdr:nvSpPr>
        <xdr:cNvPr id="8" name="TextBox 1">
          <a:extLst>
            <a:ext uri="{FF2B5EF4-FFF2-40B4-BE49-F238E27FC236}">
              <a16:creationId xmlns:a16="http://schemas.microsoft.com/office/drawing/2014/main" id="{00000000-0008-0000-0600-000008000000}"/>
            </a:ext>
          </a:extLst>
        </xdr:cNvPr>
        <xdr:cNvSpPr txBox="1"/>
      </xdr:nvSpPr>
      <xdr:spPr>
        <a:xfrm>
          <a:off x="12460110" y="8692445"/>
          <a:ext cx="2215442" cy="592667"/>
        </a:xfrm>
        <a:prstGeom prst="rect">
          <a:avLst/>
        </a:prstGeom>
      </xdr:spPr>
      <xdr:txBody>
        <a:bodyPr wrap="square" rtlCol="0">
          <a:sp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en-US" sz="1100" b="1">
              <a:latin typeface="Arial" panose="020B0604020202020204" pitchFamily="34" charset="0"/>
              <a:cs typeface="Arial" panose="020B0604020202020204" pitchFamily="34" charset="0"/>
            </a:rPr>
            <a:t>FY20 data is not available due to unavailability of IPadress in Google</a:t>
          </a:r>
          <a:r>
            <a:rPr lang="en-US" sz="1100" b="1" baseline="0">
              <a:latin typeface="Arial" panose="020B0604020202020204" pitchFamily="34" charset="0"/>
              <a:cs typeface="Arial" panose="020B0604020202020204" pitchFamily="34" charset="0"/>
            </a:rPr>
            <a:t> Analytics</a:t>
          </a:r>
          <a:r>
            <a:rPr lang="en-US" sz="1100" b="1">
              <a:latin typeface="Arial" panose="020B0604020202020204" pitchFamily="34" charset="0"/>
              <a:cs typeface="Arial" panose="020B0604020202020204" pitchFamily="34" charset="0"/>
            </a:rPr>
            <a:t>.</a:t>
          </a:r>
        </a:p>
      </xdr:txBody>
    </xdr:sp>
    <xdr:clientData/>
  </xdr:twoCellAnchor>
</xdr:wsDr>
</file>

<file path=xl/drawings/drawing14.xml><?xml version="1.0" encoding="utf-8"?>
<c:userShapes xmlns:c="http://schemas.openxmlformats.org/drawingml/2006/chart">
  <cdr:relSizeAnchor xmlns:cdr="http://schemas.openxmlformats.org/drawingml/2006/chartDrawing">
    <cdr:from>
      <cdr:x>0.12437</cdr:x>
      <cdr:y>0.01686</cdr:y>
    </cdr:from>
    <cdr:to>
      <cdr:x>0.95101</cdr:x>
      <cdr:y>0.11532</cdr:y>
    </cdr:to>
    <cdr:sp macro="" textlink="">
      <cdr:nvSpPr>
        <cdr:cNvPr id="2" name="TextBox 1"/>
        <cdr:cNvSpPr txBox="1"/>
      </cdr:nvSpPr>
      <cdr:spPr>
        <a:xfrm xmlns:a="http://schemas.openxmlformats.org/drawingml/2006/main">
          <a:off x="776617" y="50662"/>
          <a:ext cx="5161678" cy="295938"/>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marR="0" indent="0" defTabSz="914400" rtl="0" eaLnBrk="1" fontAlgn="auto" latinLnBrk="0" hangingPunct="1">
            <a:lnSpc>
              <a:spcPct val="100000"/>
            </a:lnSpc>
            <a:spcBef>
              <a:spcPts val="0"/>
            </a:spcBef>
            <a:spcAft>
              <a:spcPts val="0"/>
            </a:spcAft>
            <a:buClrTx/>
            <a:buSzTx/>
            <a:buFontTx/>
            <a:buNone/>
            <a:tabLst/>
            <a:defRPr/>
          </a:pPr>
          <a:r>
            <a:rPr lang="en-US" sz="1600" b="1" i="0" baseline="0">
              <a:solidFill>
                <a:schemeClr val="tx1"/>
              </a:solidFill>
              <a:effectLst/>
              <a:latin typeface="+mn-lt"/>
              <a:ea typeface="+mn-ea"/>
              <a:cs typeface="+mn-cs"/>
            </a:rPr>
            <a:t>GHRC Yearly Percentage of Web Users  Downloading Data</a:t>
          </a:r>
          <a:endParaRPr lang="en-US" sz="1600">
            <a:solidFill>
              <a:schemeClr val="tx1"/>
            </a:solidFill>
          </a:endParaRPr>
        </a:p>
      </cdr:txBody>
    </cdr:sp>
  </cdr:relSizeAnchor>
</c:userShapes>
</file>

<file path=xl/drawings/drawing15.xml><?xml version="1.0" encoding="utf-8"?>
<c:userShapes xmlns:c="http://schemas.openxmlformats.org/drawingml/2006/chart">
  <cdr:relSizeAnchor xmlns:cdr="http://schemas.openxmlformats.org/drawingml/2006/chartDrawing">
    <cdr:from>
      <cdr:x>0.2278</cdr:x>
      <cdr:y>0.01378</cdr:y>
    </cdr:from>
    <cdr:to>
      <cdr:x>0.89317</cdr:x>
      <cdr:y>0.11168</cdr:y>
    </cdr:to>
    <cdr:sp macro="" textlink="">
      <cdr:nvSpPr>
        <cdr:cNvPr id="3" name="TextBox 2"/>
        <cdr:cNvSpPr txBox="1"/>
      </cdr:nvSpPr>
      <cdr:spPr>
        <a:xfrm xmlns:a="http://schemas.openxmlformats.org/drawingml/2006/main">
          <a:off x="1348505" y="41418"/>
          <a:ext cx="3938730" cy="29425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pPr marL="0" marR="0" indent="0" defTabSz="914400" rtl="0" eaLnBrk="1" fontAlgn="auto" latinLnBrk="0" hangingPunct="1">
            <a:lnSpc>
              <a:spcPct val="100000"/>
            </a:lnSpc>
            <a:spcBef>
              <a:spcPts val="0"/>
            </a:spcBef>
            <a:spcAft>
              <a:spcPts val="0"/>
            </a:spcAft>
            <a:buClrTx/>
            <a:buSzTx/>
            <a:buFontTx/>
            <a:buNone/>
            <a:tabLst/>
            <a:defRPr/>
          </a:pPr>
          <a:r>
            <a:rPr lang="en-US" sz="1600" b="1" i="0" baseline="0">
              <a:effectLst/>
              <a:latin typeface="+mn-lt"/>
              <a:ea typeface="+mn-ea"/>
              <a:cs typeface="+mn-cs"/>
            </a:rPr>
            <a:t>GHRC Multi-Year Trend for Web Accesses-GA</a:t>
          </a:r>
          <a:endParaRPr lang="en-US" sz="1600">
            <a:effectLst/>
          </a:endParaRPr>
        </a:p>
        <a:p xmlns:a="http://schemas.openxmlformats.org/drawingml/2006/main">
          <a:endParaRPr lang="en-US" sz="1600"/>
        </a:p>
      </cdr:txBody>
    </cdr:sp>
  </cdr:relSizeAnchor>
</c:userShapes>
</file>

<file path=xl/drawings/drawing16.xml><?xml version="1.0" encoding="utf-8"?>
<xdr:wsDr xmlns:xdr="http://schemas.openxmlformats.org/drawingml/2006/spreadsheetDrawing" xmlns:a="http://schemas.openxmlformats.org/drawingml/2006/main">
  <xdr:twoCellAnchor>
    <xdr:from>
      <xdr:col>0</xdr:col>
      <xdr:colOff>546805</xdr:colOff>
      <xdr:row>12</xdr:row>
      <xdr:rowOff>219249</xdr:rowOff>
    </xdr:from>
    <xdr:to>
      <xdr:col>3</xdr:col>
      <xdr:colOff>1509889</xdr:colOff>
      <xdr:row>22</xdr:row>
      <xdr:rowOff>296333</xdr:rowOff>
    </xdr:to>
    <xdr:graphicFrame macro="">
      <xdr:nvGraphicFramePr>
        <xdr:cNvPr id="2" name="Chart 1">
          <a:extLst>
            <a:ext uri="{FF2B5EF4-FFF2-40B4-BE49-F238E27FC236}">
              <a16:creationId xmlns:a16="http://schemas.microsoft.com/office/drawing/2014/main" id="{00000000-0008-0000-0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5038</xdr:colOff>
      <xdr:row>23</xdr:row>
      <xdr:rowOff>120951</xdr:rowOff>
    </xdr:from>
    <xdr:to>
      <xdr:col>11</xdr:col>
      <xdr:colOff>42334</xdr:colOff>
      <xdr:row>33</xdr:row>
      <xdr:rowOff>0</xdr:rowOff>
    </xdr:to>
    <xdr:graphicFrame macro="">
      <xdr:nvGraphicFramePr>
        <xdr:cNvPr id="3" name="Chart 2">
          <a:extLst>
            <a:ext uri="{FF2B5EF4-FFF2-40B4-BE49-F238E27FC236}">
              <a16:creationId xmlns:a16="http://schemas.microsoft.com/office/drawing/2014/main" id="{00000000-0008-0000-08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11591</xdr:colOff>
      <xdr:row>12</xdr:row>
      <xdr:rowOff>208135</xdr:rowOff>
    </xdr:from>
    <xdr:to>
      <xdr:col>10</xdr:col>
      <xdr:colOff>2229556</xdr:colOff>
      <xdr:row>22</xdr:row>
      <xdr:rowOff>296332</xdr:rowOff>
    </xdr:to>
    <xdr:graphicFrame macro="">
      <xdr:nvGraphicFramePr>
        <xdr:cNvPr id="5" name="Chart 4">
          <a:extLst>
            <a:ext uri="{FF2B5EF4-FFF2-40B4-BE49-F238E27FC236}">
              <a16:creationId xmlns:a16="http://schemas.microsoft.com/office/drawing/2014/main" id="{00000000-0008-0000-08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24693</xdr:colOff>
      <xdr:row>23</xdr:row>
      <xdr:rowOff>169333</xdr:rowOff>
    </xdr:from>
    <xdr:to>
      <xdr:col>3</xdr:col>
      <xdr:colOff>1523999</xdr:colOff>
      <xdr:row>32</xdr:row>
      <xdr:rowOff>264582</xdr:rowOff>
    </xdr:to>
    <xdr:graphicFrame macro="">
      <xdr:nvGraphicFramePr>
        <xdr:cNvPr id="6" name="Chart 5">
          <a:extLst>
            <a:ext uri="{FF2B5EF4-FFF2-40B4-BE49-F238E27FC236}">
              <a16:creationId xmlns:a16="http://schemas.microsoft.com/office/drawing/2014/main" id="{00000000-0008-0000-08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xdr:col>
      <xdr:colOff>1030112</xdr:colOff>
      <xdr:row>28</xdr:row>
      <xdr:rowOff>0</xdr:rowOff>
    </xdr:from>
    <xdr:to>
      <xdr:col>10</xdr:col>
      <xdr:colOff>2102554</xdr:colOff>
      <xdr:row>29</xdr:row>
      <xdr:rowOff>268111</xdr:rowOff>
    </xdr:to>
    <xdr:sp macro="" textlink="">
      <xdr:nvSpPr>
        <xdr:cNvPr id="8" name="TextBox 1">
          <a:extLst>
            <a:ext uri="{FF2B5EF4-FFF2-40B4-BE49-F238E27FC236}">
              <a16:creationId xmlns:a16="http://schemas.microsoft.com/office/drawing/2014/main" id="{00000000-0008-0000-0800-000008000000}"/>
            </a:ext>
          </a:extLst>
        </xdr:cNvPr>
        <xdr:cNvSpPr txBox="1"/>
      </xdr:nvSpPr>
      <xdr:spPr>
        <a:xfrm>
          <a:off x="12601223" y="8142111"/>
          <a:ext cx="2215442" cy="592667"/>
        </a:xfrm>
        <a:prstGeom prst="rect">
          <a:avLst/>
        </a:prstGeom>
      </xdr:spPr>
      <xdr:txBody>
        <a:bodyPr wrap="square" rtlCol="0">
          <a:sp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en-US" sz="1100" b="1">
              <a:latin typeface="Arial" panose="020B0604020202020204" pitchFamily="34" charset="0"/>
              <a:cs typeface="Arial" panose="020B0604020202020204" pitchFamily="34" charset="0"/>
            </a:rPr>
            <a:t>FY20 data is not available due to unavailability of IPadress in Google</a:t>
          </a:r>
          <a:r>
            <a:rPr lang="en-US" sz="1100" b="1" baseline="0">
              <a:latin typeface="Arial" panose="020B0604020202020204" pitchFamily="34" charset="0"/>
              <a:cs typeface="Arial" panose="020B0604020202020204" pitchFamily="34" charset="0"/>
            </a:rPr>
            <a:t> Analytics</a:t>
          </a:r>
          <a:r>
            <a:rPr lang="en-US" sz="1100" b="1">
              <a:latin typeface="Arial" panose="020B0604020202020204" pitchFamily="34" charset="0"/>
              <a:cs typeface="Arial" panose="020B0604020202020204" pitchFamily="34" charset="0"/>
            </a:rPr>
            <a:t>.</a:t>
          </a:r>
        </a:p>
      </xdr:txBody>
    </xdr:sp>
    <xdr:clientData/>
  </xdr:twoCellAnchor>
</xdr:wsDr>
</file>

<file path=xl/drawings/drawing17.xml><?xml version="1.0" encoding="utf-8"?>
<c:userShapes xmlns:c="http://schemas.openxmlformats.org/drawingml/2006/chart">
  <cdr:relSizeAnchor xmlns:cdr="http://schemas.openxmlformats.org/drawingml/2006/chartDrawing">
    <cdr:from>
      <cdr:x>0.10406</cdr:x>
      <cdr:y>0.01203</cdr:y>
    </cdr:from>
    <cdr:to>
      <cdr:x>0.97535</cdr:x>
      <cdr:y>0.12185</cdr:y>
    </cdr:to>
    <cdr:sp macro="" textlink="">
      <cdr:nvSpPr>
        <cdr:cNvPr id="2" name="TextBox 1"/>
        <cdr:cNvSpPr txBox="1"/>
      </cdr:nvSpPr>
      <cdr:spPr>
        <a:xfrm xmlns:a="http://schemas.openxmlformats.org/drawingml/2006/main">
          <a:off x="670167" y="39584"/>
          <a:ext cx="5611296" cy="361353"/>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marR="0" indent="0" defTabSz="914400" rtl="0" eaLnBrk="1" fontAlgn="auto" latinLnBrk="0" hangingPunct="1">
            <a:lnSpc>
              <a:spcPct val="100000"/>
            </a:lnSpc>
            <a:spcBef>
              <a:spcPts val="0"/>
            </a:spcBef>
            <a:spcAft>
              <a:spcPts val="0"/>
            </a:spcAft>
            <a:buClrTx/>
            <a:buSzTx/>
            <a:buFontTx/>
            <a:buNone/>
            <a:tabLst/>
            <a:defRPr/>
          </a:pPr>
          <a:r>
            <a:rPr lang="en-US" sz="1600" b="1" i="0" baseline="0">
              <a:solidFill>
                <a:schemeClr val="tx1"/>
              </a:solidFill>
              <a:effectLst/>
              <a:latin typeface="+mn-lt"/>
              <a:ea typeface="+mn-ea"/>
              <a:cs typeface="+mn-cs"/>
            </a:rPr>
            <a:t>LAADS DAAC Yearly Percentage of Web Users  Downloading Data</a:t>
          </a:r>
          <a:endParaRPr lang="en-US" sz="1600">
            <a:solidFill>
              <a:schemeClr val="tx1"/>
            </a:solidFill>
          </a:endParaRPr>
        </a:p>
      </cdr:txBody>
    </cdr:sp>
  </cdr:relSizeAnchor>
</c:userShapes>
</file>

<file path=xl/drawings/drawing18.xml><?xml version="1.0" encoding="utf-8"?>
<c:userShapes xmlns:c="http://schemas.openxmlformats.org/drawingml/2006/chart">
  <cdr:relSizeAnchor xmlns:cdr="http://schemas.openxmlformats.org/drawingml/2006/chartDrawing">
    <cdr:from>
      <cdr:x>0.19202</cdr:x>
      <cdr:y>0.01004</cdr:y>
    </cdr:from>
    <cdr:to>
      <cdr:x>0.85739</cdr:x>
      <cdr:y>0.10794</cdr:y>
    </cdr:to>
    <cdr:sp macro="" textlink="">
      <cdr:nvSpPr>
        <cdr:cNvPr id="3" name="TextBox 2"/>
        <cdr:cNvSpPr txBox="1"/>
      </cdr:nvSpPr>
      <cdr:spPr>
        <a:xfrm xmlns:a="http://schemas.openxmlformats.org/drawingml/2006/main">
          <a:off x="1136082" y="28404"/>
          <a:ext cx="3936619" cy="276987"/>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pPr marL="0" marR="0" indent="0" defTabSz="914400" rtl="0" eaLnBrk="1" fontAlgn="auto" latinLnBrk="0" hangingPunct="1">
            <a:lnSpc>
              <a:spcPct val="100000"/>
            </a:lnSpc>
            <a:spcBef>
              <a:spcPts val="0"/>
            </a:spcBef>
            <a:spcAft>
              <a:spcPts val="0"/>
            </a:spcAft>
            <a:buClrTx/>
            <a:buSzTx/>
            <a:buFontTx/>
            <a:buNone/>
            <a:tabLst/>
            <a:defRPr/>
          </a:pPr>
          <a:r>
            <a:rPr lang="en-US" sz="1600" b="1" i="0" baseline="0">
              <a:effectLst/>
              <a:latin typeface="+mn-lt"/>
              <a:ea typeface="+mn-ea"/>
              <a:cs typeface="+mn-cs"/>
            </a:rPr>
            <a:t>LAADS DAAC Multi-Year Trend for Web Accesses-GA</a:t>
          </a:r>
          <a:endParaRPr lang="en-US" sz="1600">
            <a:effectLst/>
          </a:endParaRPr>
        </a:p>
        <a:p xmlns:a="http://schemas.openxmlformats.org/drawingml/2006/main">
          <a:endParaRPr lang="en-US" sz="1600"/>
        </a:p>
      </cdr:txBody>
    </cdr:sp>
  </cdr:relSizeAnchor>
</c:userShapes>
</file>

<file path=xl/drawings/drawing19.xml><?xml version="1.0" encoding="utf-8"?>
<xdr:wsDr xmlns:xdr="http://schemas.openxmlformats.org/drawingml/2006/spreadsheetDrawing" xmlns:a="http://schemas.openxmlformats.org/drawingml/2006/main">
  <xdr:twoCellAnchor>
    <xdr:from>
      <xdr:col>1</xdr:col>
      <xdr:colOff>3526</xdr:colOff>
      <xdr:row>12</xdr:row>
      <xdr:rowOff>211666</xdr:rowOff>
    </xdr:from>
    <xdr:to>
      <xdr:col>4</xdr:col>
      <xdr:colOff>28222</xdr:colOff>
      <xdr:row>23</xdr:row>
      <xdr:rowOff>0</xdr:rowOff>
    </xdr:to>
    <xdr:graphicFrame macro="">
      <xdr:nvGraphicFramePr>
        <xdr:cNvPr id="2" name="Chart 1">
          <a:extLst>
            <a:ext uri="{FF2B5EF4-FFF2-40B4-BE49-F238E27FC236}">
              <a16:creationId xmlns:a16="http://schemas.microsoft.com/office/drawing/2014/main" id="{00000000-0008-0000-07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266095</xdr:colOff>
      <xdr:row>24</xdr:row>
      <xdr:rowOff>14110</xdr:rowOff>
    </xdr:from>
    <xdr:to>
      <xdr:col>11</xdr:col>
      <xdr:colOff>42333</xdr:colOff>
      <xdr:row>33</xdr:row>
      <xdr:rowOff>155223</xdr:rowOff>
    </xdr:to>
    <xdr:graphicFrame macro="">
      <xdr:nvGraphicFramePr>
        <xdr:cNvPr id="3" name="Chart 2">
          <a:extLst>
            <a:ext uri="{FF2B5EF4-FFF2-40B4-BE49-F238E27FC236}">
              <a16:creationId xmlns:a16="http://schemas.microsoft.com/office/drawing/2014/main" id="{00000000-0008-0000-07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1007</xdr:colOff>
      <xdr:row>13</xdr:row>
      <xdr:rowOff>24189</xdr:rowOff>
    </xdr:from>
    <xdr:to>
      <xdr:col>10</xdr:col>
      <xdr:colOff>2229556</xdr:colOff>
      <xdr:row>23</xdr:row>
      <xdr:rowOff>0</xdr:rowOff>
    </xdr:to>
    <xdr:graphicFrame macro="">
      <xdr:nvGraphicFramePr>
        <xdr:cNvPr id="5" name="Chart 4">
          <a:extLst>
            <a:ext uri="{FF2B5EF4-FFF2-40B4-BE49-F238E27FC236}">
              <a16:creationId xmlns:a16="http://schemas.microsoft.com/office/drawing/2014/main" id="{00000000-0008-0000-07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3178</xdr:colOff>
      <xdr:row>23</xdr:row>
      <xdr:rowOff>321028</xdr:rowOff>
    </xdr:from>
    <xdr:to>
      <xdr:col>4</xdr:col>
      <xdr:colOff>0</xdr:colOff>
      <xdr:row>33</xdr:row>
      <xdr:rowOff>81139</xdr:rowOff>
    </xdr:to>
    <xdr:graphicFrame macro="">
      <xdr:nvGraphicFramePr>
        <xdr:cNvPr id="6" name="Chart 5">
          <a:extLst>
            <a:ext uri="{FF2B5EF4-FFF2-40B4-BE49-F238E27FC236}">
              <a16:creationId xmlns:a16="http://schemas.microsoft.com/office/drawing/2014/main" id="{00000000-0008-0000-07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xdr:col>
      <xdr:colOff>1001890</xdr:colOff>
      <xdr:row>29</xdr:row>
      <xdr:rowOff>239889</xdr:rowOff>
    </xdr:from>
    <xdr:to>
      <xdr:col>10</xdr:col>
      <xdr:colOff>2074332</xdr:colOff>
      <xdr:row>31</xdr:row>
      <xdr:rowOff>183445</xdr:rowOff>
    </xdr:to>
    <xdr:sp macro="" textlink="">
      <xdr:nvSpPr>
        <xdr:cNvPr id="8" name="TextBox 1">
          <a:extLst>
            <a:ext uri="{FF2B5EF4-FFF2-40B4-BE49-F238E27FC236}">
              <a16:creationId xmlns:a16="http://schemas.microsoft.com/office/drawing/2014/main" id="{00000000-0008-0000-0700-000008000000}"/>
            </a:ext>
          </a:extLst>
        </xdr:cNvPr>
        <xdr:cNvSpPr txBox="1"/>
      </xdr:nvSpPr>
      <xdr:spPr>
        <a:xfrm>
          <a:off x="12573001" y="8777111"/>
          <a:ext cx="2215442" cy="592667"/>
        </a:xfrm>
        <a:prstGeom prst="rect">
          <a:avLst/>
        </a:prstGeom>
      </xdr:spPr>
      <xdr:txBody>
        <a:bodyPr wrap="square" rtlCol="0">
          <a:sp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en-US" sz="1100" b="1">
              <a:latin typeface="Arial" panose="020B0604020202020204" pitchFamily="34" charset="0"/>
              <a:cs typeface="Arial" panose="020B0604020202020204" pitchFamily="34" charset="0"/>
            </a:rPr>
            <a:t>FY20 data is not available due to unavailability of IPadress in Google</a:t>
          </a:r>
          <a:r>
            <a:rPr lang="en-US" sz="1100" b="1" baseline="0">
              <a:latin typeface="Arial" panose="020B0604020202020204" pitchFamily="34" charset="0"/>
              <a:cs typeface="Arial" panose="020B0604020202020204" pitchFamily="34" charset="0"/>
            </a:rPr>
            <a:t> Analytics</a:t>
          </a:r>
          <a:r>
            <a:rPr lang="en-US" sz="1100" b="1">
              <a:latin typeface="Arial" panose="020B0604020202020204" pitchFamily="34" charset="0"/>
              <a:cs typeface="Arial" panose="020B0604020202020204" pitchFamily="34" charset="0"/>
            </a:rPr>
            <a:t>.</a:t>
          </a:r>
        </a:p>
      </xdr:txBody>
    </xdr:sp>
    <xdr:clientData/>
  </xdr:twoCellAnchor>
</xdr:wsDr>
</file>

<file path=xl/drawings/drawing2.xml><?xml version="1.0" encoding="utf-8"?>
<c:userShapes xmlns:c="http://schemas.openxmlformats.org/drawingml/2006/chart">
  <cdr:relSizeAnchor xmlns:cdr="http://schemas.openxmlformats.org/drawingml/2006/chartDrawing">
    <cdr:from>
      <cdr:x>0.12437</cdr:x>
      <cdr:y>0.01686</cdr:y>
    </cdr:from>
    <cdr:to>
      <cdr:x>0.95101</cdr:x>
      <cdr:y>0.11532</cdr:y>
    </cdr:to>
    <cdr:sp macro="" textlink="">
      <cdr:nvSpPr>
        <cdr:cNvPr id="2" name="TextBox 1"/>
        <cdr:cNvSpPr txBox="1"/>
      </cdr:nvSpPr>
      <cdr:spPr>
        <a:xfrm xmlns:a="http://schemas.openxmlformats.org/drawingml/2006/main">
          <a:off x="776617" y="50662"/>
          <a:ext cx="5161678" cy="295938"/>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marR="0" indent="0" defTabSz="914400" rtl="0" eaLnBrk="1" fontAlgn="auto" latinLnBrk="0" hangingPunct="1">
            <a:lnSpc>
              <a:spcPct val="100000"/>
            </a:lnSpc>
            <a:spcBef>
              <a:spcPts val="0"/>
            </a:spcBef>
            <a:spcAft>
              <a:spcPts val="0"/>
            </a:spcAft>
            <a:buClrTx/>
            <a:buSzTx/>
            <a:buFontTx/>
            <a:buNone/>
            <a:tabLst/>
            <a:defRPr/>
          </a:pPr>
          <a:r>
            <a:rPr lang="en-US" sz="1600" b="1" i="0" baseline="0">
              <a:solidFill>
                <a:schemeClr val="tx1"/>
              </a:solidFill>
              <a:effectLst/>
              <a:latin typeface="+mn-lt"/>
              <a:ea typeface="+mn-ea"/>
              <a:cs typeface="+mn-cs"/>
            </a:rPr>
            <a:t>ASDC Yearly Percentage of Web Users  Downloading Data</a:t>
          </a:r>
          <a:endParaRPr lang="en-US" sz="1600">
            <a:solidFill>
              <a:schemeClr val="tx1"/>
            </a:solidFill>
          </a:endParaRPr>
        </a:p>
      </cdr:txBody>
    </cdr:sp>
  </cdr:relSizeAnchor>
  <cdr:relSizeAnchor xmlns:cdr="http://schemas.openxmlformats.org/drawingml/2006/chartDrawing">
    <cdr:from>
      <cdr:x>0.65851</cdr:x>
      <cdr:y>0.22541</cdr:y>
    </cdr:from>
    <cdr:to>
      <cdr:x>0.97699</cdr:x>
      <cdr:y>0.44812</cdr:y>
    </cdr:to>
    <cdr:sp macro="" textlink="">
      <cdr:nvSpPr>
        <cdr:cNvPr id="3" name="TextBox 2">
          <a:extLst xmlns:a="http://schemas.openxmlformats.org/drawingml/2006/main">
            <a:ext uri="{FF2B5EF4-FFF2-40B4-BE49-F238E27FC236}">
              <a16:creationId xmlns:a16="http://schemas.microsoft.com/office/drawing/2014/main" id="{B73D5353-AA30-9448-8D26-62A3BE9265D7}"/>
            </a:ext>
          </a:extLst>
        </cdr:cNvPr>
        <cdr:cNvSpPr txBox="1"/>
      </cdr:nvSpPr>
      <cdr:spPr>
        <a:xfrm xmlns:a="http://schemas.openxmlformats.org/drawingml/2006/main">
          <a:off x="4441745" y="697381"/>
          <a:ext cx="2148142" cy="689035"/>
        </a:xfrm>
        <a:prstGeom xmlns:a="http://schemas.openxmlformats.org/drawingml/2006/main" prst="rect">
          <a:avLst/>
        </a:prstGeom>
      </cdr:spPr>
      <cdr:txBody>
        <a:bodyPr xmlns:a="http://schemas.openxmlformats.org/drawingml/2006/main" vertOverflow="clip" horzOverflow="clip" wrap="square" rtlCol="0">
          <a:noAutofit/>
        </a:bodyPr>
        <a:lstStyle xmlns:a="http://schemas.openxmlformats.org/drawingml/2006/main"/>
        <a:p xmlns:a="http://schemas.openxmlformats.org/drawingml/2006/main">
          <a:r>
            <a:rPr lang="en-US" sz="1100" b="1">
              <a:latin typeface="Arial" panose="020B0604020202020204" pitchFamily="34" charset="0"/>
              <a:cs typeface="Arial" panose="020B0604020202020204" pitchFamily="34" charset="0"/>
            </a:rPr>
            <a:t>FY20 data is not available due to unavailability of IPadress in Google</a:t>
          </a:r>
          <a:r>
            <a:rPr lang="en-US" sz="1100" b="1" baseline="0">
              <a:latin typeface="Arial" panose="020B0604020202020204" pitchFamily="34" charset="0"/>
              <a:cs typeface="Arial" panose="020B0604020202020204" pitchFamily="34" charset="0"/>
            </a:rPr>
            <a:t> Analytics</a:t>
          </a:r>
          <a:r>
            <a:rPr lang="en-US" sz="1100" b="1">
              <a:latin typeface="Arial" panose="020B0604020202020204" pitchFamily="34" charset="0"/>
              <a:cs typeface="Arial" panose="020B0604020202020204" pitchFamily="34" charset="0"/>
            </a:rPr>
            <a:t>.</a:t>
          </a:r>
        </a:p>
      </cdr:txBody>
    </cdr:sp>
  </cdr:relSizeAnchor>
</c:userShapes>
</file>

<file path=xl/drawings/drawing20.xml><?xml version="1.0" encoding="utf-8"?>
<c:userShapes xmlns:c="http://schemas.openxmlformats.org/drawingml/2006/chart">
  <cdr:relSizeAnchor xmlns:cdr="http://schemas.openxmlformats.org/drawingml/2006/chartDrawing">
    <cdr:from>
      <cdr:x>0.14107</cdr:x>
      <cdr:y>0.02279</cdr:y>
    </cdr:from>
    <cdr:to>
      <cdr:x>0.95865</cdr:x>
      <cdr:y>0.1471</cdr:y>
    </cdr:to>
    <cdr:sp macro="" textlink="">
      <cdr:nvSpPr>
        <cdr:cNvPr id="2" name="TextBox 1"/>
        <cdr:cNvSpPr txBox="1"/>
      </cdr:nvSpPr>
      <cdr:spPr>
        <a:xfrm xmlns:a="http://schemas.openxmlformats.org/drawingml/2006/main">
          <a:off x="902524" y="77351"/>
          <a:ext cx="5230769" cy="421874"/>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marR="0" indent="0" defTabSz="914400" rtl="0" eaLnBrk="1" fontAlgn="auto" latinLnBrk="0" hangingPunct="1">
            <a:lnSpc>
              <a:spcPct val="100000"/>
            </a:lnSpc>
            <a:spcBef>
              <a:spcPts val="0"/>
            </a:spcBef>
            <a:spcAft>
              <a:spcPts val="0"/>
            </a:spcAft>
            <a:buClrTx/>
            <a:buSzTx/>
            <a:buFontTx/>
            <a:buNone/>
            <a:tabLst/>
            <a:defRPr/>
          </a:pPr>
          <a:r>
            <a:rPr lang="en-US" sz="1600" b="1" i="0" baseline="0">
              <a:solidFill>
                <a:schemeClr val="tx1"/>
              </a:solidFill>
              <a:effectLst/>
              <a:latin typeface="+mn-lt"/>
              <a:ea typeface="+mn-ea"/>
              <a:cs typeface="+mn-cs"/>
            </a:rPr>
            <a:t>LPDAAC Yearly Percentage of Web Users  Downloading Data</a:t>
          </a:r>
          <a:endParaRPr lang="en-US" sz="1600">
            <a:solidFill>
              <a:schemeClr val="tx1"/>
            </a:solidFill>
          </a:endParaRPr>
        </a:p>
      </cdr:txBody>
    </cdr:sp>
  </cdr:relSizeAnchor>
</c:userShapes>
</file>

<file path=xl/drawings/drawing21.xml><?xml version="1.0" encoding="utf-8"?>
<c:userShapes xmlns:c="http://schemas.openxmlformats.org/drawingml/2006/chart">
  <cdr:relSizeAnchor xmlns:cdr="http://schemas.openxmlformats.org/drawingml/2006/chartDrawing">
    <cdr:from>
      <cdr:x>0.23853</cdr:x>
      <cdr:y>0.01378</cdr:y>
    </cdr:from>
    <cdr:to>
      <cdr:x>0.9039</cdr:x>
      <cdr:y>0.11168</cdr:y>
    </cdr:to>
    <cdr:sp macro="" textlink="">
      <cdr:nvSpPr>
        <cdr:cNvPr id="3" name="TextBox 2"/>
        <cdr:cNvSpPr txBox="1"/>
      </cdr:nvSpPr>
      <cdr:spPr>
        <a:xfrm xmlns:a="http://schemas.openxmlformats.org/drawingml/2006/main">
          <a:off x="1451568" y="39365"/>
          <a:ext cx="4049052" cy="279749"/>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pPr marL="0" marR="0" indent="0" defTabSz="914400" rtl="0" eaLnBrk="1" fontAlgn="auto" latinLnBrk="0" hangingPunct="1">
            <a:lnSpc>
              <a:spcPct val="100000"/>
            </a:lnSpc>
            <a:spcBef>
              <a:spcPts val="0"/>
            </a:spcBef>
            <a:spcAft>
              <a:spcPts val="0"/>
            </a:spcAft>
            <a:buClrTx/>
            <a:buSzTx/>
            <a:buFontTx/>
            <a:buNone/>
            <a:tabLst/>
            <a:defRPr/>
          </a:pPr>
          <a:r>
            <a:rPr lang="en-US" sz="1600" b="1" i="0" baseline="0">
              <a:effectLst/>
              <a:latin typeface="+mn-lt"/>
              <a:ea typeface="+mn-ea"/>
              <a:cs typeface="+mn-cs"/>
            </a:rPr>
            <a:t>LPDAAC Multi-Year Trend for Web Accesses-GA</a:t>
          </a:r>
          <a:endParaRPr lang="en-US" sz="1600">
            <a:effectLst/>
          </a:endParaRPr>
        </a:p>
        <a:p xmlns:a="http://schemas.openxmlformats.org/drawingml/2006/main">
          <a:endParaRPr lang="en-US" sz="1600"/>
        </a:p>
      </cdr:txBody>
    </cdr:sp>
  </cdr:relSizeAnchor>
</c:userShapes>
</file>

<file path=xl/drawings/drawing22.xml><?xml version="1.0" encoding="utf-8"?>
<xdr:wsDr xmlns:xdr="http://schemas.openxmlformats.org/drawingml/2006/spreadsheetDrawing" xmlns:a="http://schemas.openxmlformats.org/drawingml/2006/main">
  <xdr:twoCellAnchor>
    <xdr:from>
      <xdr:col>1</xdr:col>
      <xdr:colOff>24695</xdr:colOff>
      <xdr:row>12</xdr:row>
      <xdr:rowOff>205138</xdr:rowOff>
    </xdr:from>
    <xdr:to>
      <xdr:col>3</xdr:col>
      <xdr:colOff>1400529</xdr:colOff>
      <xdr:row>21</xdr:row>
      <xdr:rowOff>292805</xdr:rowOff>
    </xdr:to>
    <xdr:graphicFrame macro="">
      <xdr:nvGraphicFramePr>
        <xdr:cNvPr id="2" name="Chart 1">
          <a:extLst>
            <a:ext uri="{FF2B5EF4-FFF2-40B4-BE49-F238E27FC236}">
              <a16:creationId xmlns:a16="http://schemas.microsoft.com/office/drawing/2014/main" id="{00000000-0008-0000-0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260300</xdr:colOff>
      <xdr:row>22</xdr:row>
      <xdr:rowOff>166763</xdr:rowOff>
    </xdr:from>
    <xdr:to>
      <xdr:col>11</xdr:col>
      <xdr:colOff>14111</xdr:colOff>
      <xdr:row>32</xdr:row>
      <xdr:rowOff>1</xdr:rowOff>
    </xdr:to>
    <xdr:graphicFrame macro="">
      <xdr:nvGraphicFramePr>
        <xdr:cNvPr id="3" name="Chart 2">
          <a:extLst>
            <a:ext uri="{FF2B5EF4-FFF2-40B4-BE49-F238E27FC236}">
              <a16:creationId xmlns:a16="http://schemas.microsoft.com/office/drawing/2014/main" id="{00000000-0008-0000-09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255573</xdr:colOff>
      <xdr:row>12</xdr:row>
      <xdr:rowOff>222627</xdr:rowOff>
    </xdr:from>
    <xdr:to>
      <xdr:col>10</xdr:col>
      <xdr:colOff>2231508</xdr:colOff>
      <xdr:row>21</xdr:row>
      <xdr:rowOff>310821</xdr:rowOff>
    </xdr:to>
    <xdr:graphicFrame macro="">
      <xdr:nvGraphicFramePr>
        <xdr:cNvPr id="5" name="Chart 4">
          <a:extLst>
            <a:ext uri="{FF2B5EF4-FFF2-40B4-BE49-F238E27FC236}">
              <a16:creationId xmlns:a16="http://schemas.microsoft.com/office/drawing/2014/main" id="{00000000-0008-0000-09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24694</xdr:colOff>
      <xdr:row>22</xdr:row>
      <xdr:rowOff>204610</xdr:rowOff>
    </xdr:from>
    <xdr:to>
      <xdr:col>3</xdr:col>
      <xdr:colOff>1425221</xdr:colOff>
      <xdr:row>32</xdr:row>
      <xdr:rowOff>24694</xdr:rowOff>
    </xdr:to>
    <xdr:graphicFrame macro="">
      <xdr:nvGraphicFramePr>
        <xdr:cNvPr id="6" name="Chart 5">
          <a:extLst>
            <a:ext uri="{FF2B5EF4-FFF2-40B4-BE49-F238E27FC236}">
              <a16:creationId xmlns:a16="http://schemas.microsoft.com/office/drawing/2014/main" id="{00000000-0008-0000-09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xdr:col>
      <xdr:colOff>663221</xdr:colOff>
      <xdr:row>28</xdr:row>
      <xdr:rowOff>14112</xdr:rowOff>
    </xdr:from>
    <xdr:to>
      <xdr:col>10</xdr:col>
      <xdr:colOff>1735663</xdr:colOff>
      <xdr:row>29</xdr:row>
      <xdr:rowOff>282224</xdr:rowOff>
    </xdr:to>
    <xdr:sp macro="" textlink="">
      <xdr:nvSpPr>
        <xdr:cNvPr id="8" name="TextBox 1">
          <a:extLst>
            <a:ext uri="{FF2B5EF4-FFF2-40B4-BE49-F238E27FC236}">
              <a16:creationId xmlns:a16="http://schemas.microsoft.com/office/drawing/2014/main" id="{00000000-0008-0000-0900-000008000000}"/>
            </a:ext>
          </a:extLst>
        </xdr:cNvPr>
        <xdr:cNvSpPr txBox="1"/>
      </xdr:nvSpPr>
      <xdr:spPr>
        <a:xfrm>
          <a:off x="12036777" y="8226779"/>
          <a:ext cx="2215442" cy="592667"/>
        </a:xfrm>
        <a:prstGeom prst="rect">
          <a:avLst/>
        </a:prstGeom>
      </xdr:spPr>
      <xdr:txBody>
        <a:bodyPr wrap="square" rtlCol="0">
          <a:sp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en-US" sz="1100" b="1">
              <a:latin typeface="Arial" panose="020B0604020202020204" pitchFamily="34" charset="0"/>
              <a:cs typeface="Arial" panose="020B0604020202020204" pitchFamily="34" charset="0"/>
            </a:rPr>
            <a:t>FY20 data is not available due to unavailability of IPadress in Google</a:t>
          </a:r>
          <a:r>
            <a:rPr lang="en-US" sz="1100" b="1" baseline="0">
              <a:latin typeface="Arial" panose="020B0604020202020204" pitchFamily="34" charset="0"/>
              <a:cs typeface="Arial" panose="020B0604020202020204" pitchFamily="34" charset="0"/>
            </a:rPr>
            <a:t> Analytics</a:t>
          </a:r>
          <a:r>
            <a:rPr lang="en-US" sz="1100" b="1">
              <a:latin typeface="Arial" panose="020B0604020202020204" pitchFamily="34" charset="0"/>
              <a:cs typeface="Arial" panose="020B0604020202020204" pitchFamily="34" charset="0"/>
            </a:rPr>
            <a:t>.</a:t>
          </a:r>
        </a:p>
      </xdr:txBody>
    </xdr:sp>
    <xdr:clientData/>
  </xdr:twoCellAnchor>
</xdr:wsDr>
</file>

<file path=xl/drawings/drawing23.xml><?xml version="1.0" encoding="utf-8"?>
<c:userShapes xmlns:c="http://schemas.openxmlformats.org/drawingml/2006/chart">
  <cdr:relSizeAnchor xmlns:cdr="http://schemas.openxmlformats.org/drawingml/2006/chartDrawing">
    <cdr:from>
      <cdr:x>0.12141</cdr:x>
      <cdr:y>0.01686</cdr:y>
    </cdr:from>
    <cdr:to>
      <cdr:x>0.97282</cdr:x>
      <cdr:y>0.12185</cdr:y>
    </cdr:to>
    <cdr:sp macro="" textlink="">
      <cdr:nvSpPr>
        <cdr:cNvPr id="2" name="TextBox 1"/>
        <cdr:cNvSpPr txBox="1"/>
      </cdr:nvSpPr>
      <cdr:spPr>
        <a:xfrm xmlns:a="http://schemas.openxmlformats.org/drawingml/2006/main">
          <a:off x="765064" y="50671"/>
          <a:ext cx="5365047" cy="315539"/>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marR="0" indent="0" defTabSz="914400" rtl="0" eaLnBrk="1" fontAlgn="auto" latinLnBrk="0" hangingPunct="1">
            <a:lnSpc>
              <a:spcPct val="100000"/>
            </a:lnSpc>
            <a:spcBef>
              <a:spcPts val="0"/>
            </a:spcBef>
            <a:spcAft>
              <a:spcPts val="0"/>
            </a:spcAft>
            <a:buClrTx/>
            <a:buSzTx/>
            <a:buFontTx/>
            <a:buNone/>
            <a:tabLst/>
            <a:defRPr/>
          </a:pPr>
          <a:r>
            <a:rPr lang="en-US" sz="1600" b="1" i="0" baseline="0">
              <a:solidFill>
                <a:schemeClr val="tx1"/>
              </a:solidFill>
              <a:effectLst/>
              <a:latin typeface="+mn-lt"/>
              <a:ea typeface="+mn-ea"/>
              <a:cs typeface="+mn-cs"/>
            </a:rPr>
            <a:t>NSIDC Yearly Percentage of Web Users  Downloading Data</a:t>
          </a:r>
          <a:endParaRPr lang="en-US" sz="1600">
            <a:solidFill>
              <a:schemeClr val="tx1"/>
            </a:solidFill>
          </a:endParaRPr>
        </a:p>
      </cdr:txBody>
    </cdr:sp>
  </cdr:relSizeAnchor>
</c:userShapes>
</file>

<file path=xl/drawings/drawing24.xml><?xml version="1.0" encoding="utf-8"?>
<c:userShapes xmlns:c="http://schemas.openxmlformats.org/drawingml/2006/chart">
  <cdr:relSizeAnchor xmlns:cdr="http://schemas.openxmlformats.org/drawingml/2006/chartDrawing">
    <cdr:from>
      <cdr:x>0.22601</cdr:x>
      <cdr:y>0.01731</cdr:y>
    </cdr:from>
    <cdr:to>
      <cdr:x>0.89138</cdr:x>
      <cdr:y>0.11521</cdr:y>
    </cdr:to>
    <cdr:sp macro="" textlink="">
      <cdr:nvSpPr>
        <cdr:cNvPr id="3" name="TextBox 2"/>
        <cdr:cNvSpPr txBox="1"/>
      </cdr:nvSpPr>
      <cdr:spPr>
        <a:xfrm xmlns:a="http://schemas.openxmlformats.org/drawingml/2006/main">
          <a:off x="1337080" y="51855"/>
          <a:ext cx="3936383" cy="293219"/>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pPr marL="0" marR="0" indent="0" defTabSz="914400" rtl="0" eaLnBrk="1" fontAlgn="auto" latinLnBrk="0" hangingPunct="1">
            <a:lnSpc>
              <a:spcPct val="100000"/>
            </a:lnSpc>
            <a:spcBef>
              <a:spcPts val="0"/>
            </a:spcBef>
            <a:spcAft>
              <a:spcPts val="0"/>
            </a:spcAft>
            <a:buClrTx/>
            <a:buSzTx/>
            <a:buFontTx/>
            <a:buNone/>
            <a:tabLst/>
            <a:defRPr/>
          </a:pPr>
          <a:r>
            <a:rPr lang="en-US" sz="1600" b="1" i="0" baseline="0">
              <a:effectLst/>
              <a:latin typeface="+mn-lt"/>
              <a:ea typeface="+mn-ea"/>
              <a:cs typeface="+mn-cs"/>
            </a:rPr>
            <a:t>NSIDC Multi-Year Trend for Web Accesses-GA</a:t>
          </a:r>
          <a:endParaRPr lang="en-US" sz="1600">
            <a:effectLst/>
          </a:endParaRPr>
        </a:p>
        <a:p xmlns:a="http://schemas.openxmlformats.org/drawingml/2006/main">
          <a:endParaRPr lang="en-US" sz="1600"/>
        </a:p>
      </cdr:txBody>
    </cdr:sp>
  </cdr:relSizeAnchor>
</c:userShapes>
</file>

<file path=xl/drawings/drawing25.xml><?xml version="1.0" encoding="utf-8"?>
<xdr:wsDr xmlns:xdr="http://schemas.openxmlformats.org/drawingml/2006/spreadsheetDrawing" xmlns:a="http://schemas.openxmlformats.org/drawingml/2006/main">
  <xdr:twoCellAnchor>
    <xdr:from>
      <xdr:col>1</xdr:col>
      <xdr:colOff>11464</xdr:colOff>
      <xdr:row>12</xdr:row>
      <xdr:rowOff>224979</xdr:rowOff>
    </xdr:from>
    <xdr:to>
      <xdr:col>3</xdr:col>
      <xdr:colOff>1425221</xdr:colOff>
      <xdr:row>22</xdr:row>
      <xdr:rowOff>28223</xdr:rowOff>
    </xdr:to>
    <xdr:graphicFrame macro="">
      <xdr:nvGraphicFramePr>
        <xdr:cNvPr id="2" name="Chart 1">
          <a:extLst>
            <a:ext uri="{FF2B5EF4-FFF2-40B4-BE49-F238E27FC236}">
              <a16:creationId xmlns:a16="http://schemas.microsoft.com/office/drawing/2014/main" id="{00000000-0008-0000-0A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10711</xdr:colOff>
      <xdr:row>22</xdr:row>
      <xdr:rowOff>161772</xdr:rowOff>
    </xdr:from>
    <xdr:to>
      <xdr:col>11</xdr:col>
      <xdr:colOff>42335</xdr:colOff>
      <xdr:row>32</xdr:row>
      <xdr:rowOff>14111</xdr:rowOff>
    </xdr:to>
    <xdr:graphicFrame macro="">
      <xdr:nvGraphicFramePr>
        <xdr:cNvPr id="3" name="Chart 2">
          <a:extLst>
            <a:ext uri="{FF2B5EF4-FFF2-40B4-BE49-F238E27FC236}">
              <a16:creationId xmlns:a16="http://schemas.microsoft.com/office/drawing/2014/main" id="{00000000-0008-0000-0A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29168</xdr:colOff>
      <xdr:row>13</xdr:row>
      <xdr:rowOff>35277</xdr:rowOff>
    </xdr:from>
    <xdr:to>
      <xdr:col>11</xdr:col>
      <xdr:colOff>28223</xdr:colOff>
      <xdr:row>22</xdr:row>
      <xdr:rowOff>8882</xdr:rowOff>
    </xdr:to>
    <xdr:graphicFrame macro="">
      <xdr:nvGraphicFramePr>
        <xdr:cNvPr id="5" name="Chart 4">
          <a:extLst>
            <a:ext uri="{FF2B5EF4-FFF2-40B4-BE49-F238E27FC236}">
              <a16:creationId xmlns:a16="http://schemas.microsoft.com/office/drawing/2014/main" id="{00000000-0008-0000-0A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3176</xdr:colOff>
      <xdr:row>22</xdr:row>
      <xdr:rowOff>169334</xdr:rowOff>
    </xdr:from>
    <xdr:to>
      <xdr:col>4</xdr:col>
      <xdr:colOff>0</xdr:colOff>
      <xdr:row>31</xdr:row>
      <xdr:rowOff>296336</xdr:rowOff>
    </xdr:to>
    <xdr:graphicFrame macro="">
      <xdr:nvGraphicFramePr>
        <xdr:cNvPr id="6" name="Chart 5">
          <a:extLst>
            <a:ext uri="{FF2B5EF4-FFF2-40B4-BE49-F238E27FC236}">
              <a16:creationId xmlns:a16="http://schemas.microsoft.com/office/drawing/2014/main" id="{00000000-0008-0000-0A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xdr:col>
      <xdr:colOff>1044221</xdr:colOff>
      <xdr:row>28</xdr:row>
      <xdr:rowOff>141111</xdr:rowOff>
    </xdr:from>
    <xdr:to>
      <xdr:col>10</xdr:col>
      <xdr:colOff>2116663</xdr:colOff>
      <xdr:row>30</xdr:row>
      <xdr:rowOff>84667</xdr:rowOff>
    </xdr:to>
    <xdr:sp macro="" textlink="">
      <xdr:nvSpPr>
        <xdr:cNvPr id="8" name="TextBox 1">
          <a:extLst>
            <a:ext uri="{FF2B5EF4-FFF2-40B4-BE49-F238E27FC236}">
              <a16:creationId xmlns:a16="http://schemas.microsoft.com/office/drawing/2014/main" id="{00000000-0008-0000-0A00-000008000000}"/>
            </a:ext>
          </a:extLst>
        </xdr:cNvPr>
        <xdr:cNvSpPr txBox="1"/>
      </xdr:nvSpPr>
      <xdr:spPr>
        <a:xfrm>
          <a:off x="12445999" y="8353778"/>
          <a:ext cx="2215442" cy="592667"/>
        </a:xfrm>
        <a:prstGeom prst="rect">
          <a:avLst/>
        </a:prstGeom>
      </xdr:spPr>
      <xdr:txBody>
        <a:bodyPr wrap="square" rtlCol="0">
          <a:sp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en-US" sz="1100" b="1">
              <a:latin typeface="Arial" panose="020B0604020202020204" pitchFamily="34" charset="0"/>
              <a:cs typeface="Arial" panose="020B0604020202020204" pitchFamily="34" charset="0"/>
            </a:rPr>
            <a:t>FY20 data is not available due to unavailability of IPadress in Google</a:t>
          </a:r>
          <a:r>
            <a:rPr lang="en-US" sz="1100" b="1" baseline="0">
              <a:latin typeface="Arial" panose="020B0604020202020204" pitchFamily="34" charset="0"/>
              <a:cs typeface="Arial" panose="020B0604020202020204" pitchFamily="34" charset="0"/>
            </a:rPr>
            <a:t> Analytics</a:t>
          </a:r>
          <a:r>
            <a:rPr lang="en-US" sz="1100" b="1">
              <a:latin typeface="Arial" panose="020B0604020202020204" pitchFamily="34" charset="0"/>
              <a:cs typeface="Arial" panose="020B0604020202020204" pitchFamily="34" charset="0"/>
            </a:rPr>
            <a:t>.</a:t>
          </a:r>
        </a:p>
      </xdr:txBody>
    </xdr:sp>
    <xdr:clientData/>
  </xdr:twoCellAnchor>
</xdr:wsDr>
</file>

<file path=xl/drawings/drawing26.xml><?xml version="1.0" encoding="utf-8"?>
<c:userShapes xmlns:c="http://schemas.openxmlformats.org/drawingml/2006/chart">
  <cdr:relSizeAnchor xmlns:cdr="http://schemas.openxmlformats.org/drawingml/2006/chartDrawing">
    <cdr:from>
      <cdr:x>0.12437</cdr:x>
      <cdr:y>0.01686</cdr:y>
    </cdr:from>
    <cdr:to>
      <cdr:x>0.95101</cdr:x>
      <cdr:y>0.11532</cdr:y>
    </cdr:to>
    <cdr:sp macro="" textlink="">
      <cdr:nvSpPr>
        <cdr:cNvPr id="2" name="TextBox 1"/>
        <cdr:cNvSpPr txBox="1"/>
      </cdr:nvSpPr>
      <cdr:spPr>
        <a:xfrm xmlns:a="http://schemas.openxmlformats.org/drawingml/2006/main">
          <a:off x="776617" y="50662"/>
          <a:ext cx="5161678" cy="295938"/>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marR="0" indent="0" defTabSz="914400" rtl="0" eaLnBrk="1" fontAlgn="auto" latinLnBrk="0" hangingPunct="1">
            <a:lnSpc>
              <a:spcPct val="100000"/>
            </a:lnSpc>
            <a:spcBef>
              <a:spcPts val="0"/>
            </a:spcBef>
            <a:spcAft>
              <a:spcPts val="0"/>
            </a:spcAft>
            <a:buClrTx/>
            <a:buSzTx/>
            <a:buFontTx/>
            <a:buNone/>
            <a:tabLst/>
            <a:defRPr/>
          </a:pPr>
          <a:r>
            <a:rPr lang="en-US" sz="1600" b="1" i="0" baseline="0">
              <a:solidFill>
                <a:schemeClr val="tx1"/>
              </a:solidFill>
              <a:effectLst/>
              <a:latin typeface="+mn-lt"/>
              <a:ea typeface="+mn-ea"/>
              <a:cs typeface="+mn-cs"/>
            </a:rPr>
            <a:t>ORNL Yearly Percentage of Web Users  Downloading Data</a:t>
          </a:r>
          <a:endParaRPr lang="en-US" sz="1600">
            <a:solidFill>
              <a:schemeClr val="tx1"/>
            </a:solidFill>
          </a:endParaRPr>
        </a:p>
      </cdr:txBody>
    </cdr:sp>
  </cdr:relSizeAnchor>
</c:userShapes>
</file>

<file path=xl/drawings/drawing27.xml><?xml version="1.0" encoding="utf-8"?>
<c:userShapes xmlns:c="http://schemas.openxmlformats.org/drawingml/2006/chart">
  <cdr:relSizeAnchor xmlns:cdr="http://schemas.openxmlformats.org/drawingml/2006/chartDrawing">
    <cdr:from>
      <cdr:x>0.23853</cdr:x>
      <cdr:y>0.01378</cdr:y>
    </cdr:from>
    <cdr:to>
      <cdr:x>0.9039</cdr:x>
      <cdr:y>0.11168</cdr:y>
    </cdr:to>
    <cdr:sp macro="" textlink="">
      <cdr:nvSpPr>
        <cdr:cNvPr id="3" name="TextBox 2"/>
        <cdr:cNvSpPr txBox="1"/>
      </cdr:nvSpPr>
      <cdr:spPr>
        <a:xfrm xmlns:a="http://schemas.openxmlformats.org/drawingml/2006/main">
          <a:off x="1451568" y="39365"/>
          <a:ext cx="4049052" cy="279749"/>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pPr marL="0" marR="0" indent="0" defTabSz="914400" rtl="0" eaLnBrk="1" fontAlgn="auto" latinLnBrk="0" hangingPunct="1">
            <a:lnSpc>
              <a:spcPct val="100000"/>
            </a:lnSpc>
            <a:spcBef>
              <a:spcPts val="0"/>
            </a:spcBef>
            <a:spcAft>
              <a:spcPts val="0"/>
            </a:spcAft>
            <a:buClrTx/>
            <a:buSzTx/>
            <a:buFontTx/>
            <a:buNone/>
            <a:tabLst/>
            <a:defRPr/>
          </a:pPr>
          <a:r>
            <a:rPr lang="en-US" sz="1600" b="1" i="0" baseline="0">
              <a:effectLst/>
              <a:latin typeface="+mn-lt"/>
              <a:ea typeface="+mn-ea"/>
              <a:cs typeface="+mn-cs"/>
            </a:rPr>
            <a:t>ORNL Multi-Year Trend for Web Accesses-GA</a:t>
          </a:r>
          <a:endParaRPr lang="en-US" sz="1600">
            <a:effectLst/>
          </a:endParaRPr>
        </a:p>
        <a:p xmlns:a="http://schemas.openxmlformats.org/drawingml/2006/main">
          <a:endParaRPr lang="en-US" sz="1600"/>
        </a:p>
      </cdr:txBody>
    </cdr:sp>
  </cdr:relSizeAnchor>
</c:userShapes>
</file>

<file path=xl/drawings/drawing28.xml><?xml version="1.0" encoding="utf-8"?>
<xdr:wsDr xmlns:xdr="http://schemas.openxmlformats.org/drawingml/2006/spreadsheetDrawing" xmlns:a="http://schemas.openxmlformats.org/drawingml/2006/main">
  <xdr:twoCellAnchor>
    <xdr:from>
      <xdr:col>0</xdr:col>
      <xdr:colOff>550332</xdr:colOff>
      <xdr:row>13</xdr:row>
      <xdr:rowOff>1</xdr:rowOff>
    </xdr:from>
    <xdr:to>
      <xdr:col>4</xdr:col>
      <xdr:colOff>14110</xdr:colOff>
      <xdr:row>22</xdr:row>
      <xdr:rowOff>1</xdr:rowOff>
    </xdr:to>
    <xdr:graphicFrame macro="">
      <xdr:nvGraphicFramePr>
        <xdr:cNvPr id="2" name="Chart 1">
          <a:extLst>
            <a:ext uri="{FF2B5EF4-FFF2-40B4-BE49-F238E27FC236}">
              <a16:creationId xmlns:a16="http://schemas.microsoft.com/office/drawing/2014/main" id="{00000000-0008-0000-0B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264584</xdr:colOff>
      <xdr:row>22</xdr:row>
      <xdr:rowOff>224363</xdr:rowOff>
    </xdr:from>
    <xdr:to>
      <xdr:col>11</xdr:col>
      <xdr:colOff>1</xdr:colOff>
      <xdr:row>31</xdr:row>
      <xdr:rowOff>285748</xdr:rowOff>
    </xdr:to>
    <xdr:graphicFrame macro="">
      <xdr:nvGraphicFramePr>
        <xdr:cNvPr id="3" name="Chart 2">
          <a:extLst>
            <a:ext uri="{FF2B5EF4-FFF2-40B4-BE49-F238E27FC236}">
              <a16:creationId xmlns:a16="http://schemas.microsoft.com/office/drawing/2014/main" id="{00000000-0008-0000-0B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10583</xdr:colOff>
      <xdr:row>13</xdr:row>
      <xdr:rowOff>7053</xdr:rowOff>
    </xdr:from>
    <xdr:to>
      <xdr:col>11</xdr:col>
      <xdr:colOff>21167</xdr:colOff>
      <xdr:row>21</xdr:row>
      <xdr:rowOff>321026</xdr:rowOff>
    </xdr:to>
    <xdr:graphicFrame macro="">
      <xdr:nvGraphicFramePr>
        <xdr:cNvPr id="5" name="Chart 4">
          <a:extLst>
            <a:ext uri="{FF2B5EF4-FFF2-40B4-BE49-F238E27FC236}">
              <a16:creationId xmlns:a16="http://schemas.microsoft.com/office/drawing/2014/main" id="{00000000-0008-0000-0B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14112</xdr:colOff>
      <xdr:row>22</xdr:row>
      <xdr:rowOff>197556</xdr:rowOff>
    </xdr:from>
    <xdr:to>
      <xdr:col>4</xdr:col>
      <xdr:colOff>0</xdr:colOff>
      <xdr:row>31</xdr:row>
      <xdr:rowOff>218723</xdr:rowOff>
    </xdr:to>
    <xdr:graphicFrame macro="">
      <xdr:nvGraphicFramePr>
        <xdr:cNvPr id="7" name="Chart 6">
          <a:extLst>
            <a:ext uri="{FF2B5EF4-FFF2-40B4-BE49-F238E27FC236}">
              <a16:creationId xmlns:a16="http://schemas.microsoft.com/office/drawing/2014/main" id="{00000000-0008-0000-0B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1848555</xdr:colOff>
      <xdr:row>26</xdr:row>
      <xdr:rowOff>239887</xdr:rowOff>
    </xdr:from>
    <xdr:to>
      <xdr:col>1</xdr:col>
      <xdr:colOff>3811675</xdr:colOff>
      <xdr:row>27</xdr:row>
      <xdr:rowOff>261974</xdr:rowOff>
    </xdr:to>
    <xdr:sp macro="" textlink="">
      <xdr:nvSpPr>
        <xdr:cNvPr id="8" name="TextBox 1">
          <a:extLst>
            <a:ext uri="{FF2B5EF4-FFF2-40B4-BE49-F238E27FC236}">
              <a16:creationId xmlns:a16="http://schemas.microsoft.com/office/drawing/2014/main" id="{00000000-0008-0000-0B00-000008000000}"/>
            </a:ext>
          </a:extLst>
        </xdr:cNvPr>
        <xdr:cNvSpPr txBox="1"/>
      </xdr:nvSpPr>
      <xdr:spPr>
        <a:xfrm rot="19720269">
          <a:off x="2398888" y="7986887"/>
          <a:ext cx="1963120" cy="346643"/>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en-US" sz="1400" b="1"/>
            <a:t>Data Not Available</a:t>
          </a:r>
        </a:p>
      </xdr:txBody>
    </xdr:sp>
    <xdr:clientData/>
  </xdr:twoCellAnchor>
  <xdr:twoCellAnchor>
    <xdr:from>
      <xdr:col>9</xdr:col>
      <xdr:colOff>973666</xdr:colOff>
      <xdr:row>28</xdr:row>
      <xdr:rowOff>127000</xdr:rowOff>
    </xdr:from>
    <xdr:to>
      <xdr:col>10</xdr:col>
      <xdr:colOff>2046108</xdr:colOff>
      <xdr:row>30</xdr:row>
      <xdr:rowOff>70556</xdr:rowOff>
    </xdr:to>
    <xdr:sp macro="" textlink="">
      <xdr:nvSpPr>
        <xdr:cNvPr id="9" name="TextBox 1">
          <a:extLst>
            <a:ext uri="{FF2B5EF4-FFF2-40B4-BE49-F238E27FC236}">
              <a16:creationId xmlns:a16="http://schemas.microsoft.com/office/drawing/2014/main" id="{00000000-0008-0000-0B00-000009000000}"/>
            </a:ext>
          </a:extLst>
        </xdr:cNvPr>
        <xdr:cNvSpPr txBox="1"/>
      </xdr:nvSpPr>
      <xdr:spPr>
        <a:xfrm>
          <a:off x="12375444" y="8523111"/>
          <a:ext cx="2215442" cy="592667"/>
        </a:xfrm>
        <a:prstGeom prst="rect">
          <a:avLst/>
        </a:prstGeom>
      </xdr:spPr>
      <xdr:txBody>
        <a:bodyPr wrap="square" rtlCol="0">
          <a:sp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en-US" sz="1100" b="1">
              <a:latin typeface="Arial" panose="020B0604020202020204" pitchFamily="34" charset="0"/>
              <a:cs typeface="Arial" panose="020B0604020202020204" pitchFamily="34" charset="0"/>
            </a:rPr>
            <a:t>FY20 data is not available due to unavailability of IPadress in Google</a:t>
          </a:r>
          <a:r>
            <a:rPr lang="en-US" sz="1100" b="1" baseline="0">
              <a:latin typeface="Arial" panose="020B0604020202020204" pitchFamily="34" charset="0"/>
              <a:cs typeface="Arial" panose="020B0604020202020204" pitchFamily="34" charset="0"/>
            </a:rPr>
            <a:t> Analytics</a:t>
          </a:r>
          <a:r>
            <a:rPr lang="en-US" sz="1100" b="1">
              <a:latin typeface="Arial" panose="020B0604020202020204" pitchFamily="34" charset="0"/>
              <a:cs typeface="Arial" panose="020B0604020202020204" pitchFamily="34" charset="0"/>
            </a:rPr>
            <a:t>.</a:t>
          </a:r>
        </a:p>
      </xdr:txBody>
    </xdr:sp>
    <xdr:clientData/>
  </xdr:twoCellAnchor>
</xdr:wsDr>
</file>

<file path=xl/drawings/drawing29.xml><?xml version="1.0" encoding="utf-8"?>
<c:userShapes xmlns:c="http://schemas.openxmlformats.org/drawingml/2006/chart">
  <cdr:relSizeAnchor xmlns:cdr="http://schemas.openxmlformats.org/drawingml/2006/chartDrawing">
    <cdr:from>
      <cdr:x>0.34</cdr:x>
      <cdr:y>0.52486</cdr:y>
    </cdr:from>
    <cdr:to>
      <cdr:x>0.59994</cdr:x>
      <cdr:y>0.64154</cdr:y>
    </cdr:to>
    <cdr:sp macro="" textlink="">
      <cdr:nvSpPr>
        <cdr:cNvPr id="3" name="TextBox 2"/>
        <cdr:cNvSpPr txBox="1"/>
      </cdr:nvSpPr>
      <cdr:spPr>
        <a:xfrm xmlns:a="http://schemas.openxmlformats.org/drawingml/2006/main" rot="19720269">
          <a:off x="2456445" y="1533118"/>
          <a:ext cx="1878038" cy="340823"/>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sz="1400" b="1"/>
            <a:t>Data Not Available</a:t>
          </a:r>
        </a:p>
      </cdr:txBody>
    </cdr:sp>
  </cdr:relSizeAnchor>
</c:userShapes>
</file>

<file path=xl/drawings/drawing3.xml><?xml version="1.0" encoding="utf-8"?>
<c:userShapes xmlns:c="http://schemas.openxmlformats.org/drawingml/2006/chart">
  <cdr:relSizeAnchor xmlns:cdr="http://schemas.openxmlformats.org/drawingml/2006/chartDrawing">
    <cdr:from>
      <cdr:x>0.23686</cdr:x>
      <cdr:y>0</cdr:y>
    </cdr:from>
    <cdr:to>
      <cdr:x>0.90223</cdr:x>
      <cdr:y>0.0979</cdr:y>
    </cdr:to>
    <cdr:sp macro="" textlink="">
      <cdr:nvSpPr>
        <cdr:cNvPr id="3" name="TextBox 2"/>
        <cdr:cNvSpPr txBox="1"/>
      </cdr:nvSpPr>
      <cdr:spPr>
        <a:xfrm xmlns:a="http://schemas.openxmlformats.org/drawingml/2006/main">
          <a:off x="1844002" y="0"/>
          <a:ext cx="5179974" cy="318776"/>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pPr marL="0" marR="0" indent="0" defTabSz="914400" rtl="0" eaLnBrk="1" fontAlgn="auto" latinLnBrk="0" hangingPunct="1">
            <a:lnSpc>
              <a:spcPct val="100000"/>
            </a:lnSpc>
            <a:spcBef>
              <a:spcPts val="0"/>
            </a:spcBef>
            <a:spcAft>
              <a:spcPts val="0"/>
            </a:spcAft>
            <a:buClrTx/>
            <a:buSzTx/>
            <a:buFontTx/>
            <a:buNone/>
            <a:tabLst/>
            <a:defRPr/>
          </a:pPr>
          <a:r>
            <a:rPr lang="en-US" sz="1600" b="1" i="0" baseline="0">
              <a:effectLst/>
              <a:latin typeface="+mn-lt"/>
              <a:ea typeface="+mn-ea"/>
              <a:cs typeface="+mn-cs"/>
            </a:rPr>
            <a:t>ASDC Multi-Year Trend for Web Accesses-GA</a:t>
          </a:r>
          <a:endParaRPr lang="en-US" sz="1600">
            <a:effectLst/>
          </a:endParaRPr>
        </a:p>
        <a:p xmlns:a="http://schemas.openxmlformats.org/drawingml/2006/main">
          <a:endParaRPr lang="en-US" sz="1600"/>
        </a:p>
      </cdr:txBody>
    </cdr:sp>
  </cdr:relSizeAnchor>
</c:userShapes>
</file>

<file path=xl/drawings/drawing30.xml><?xml version="1.0" encoding="utf-8"?>
<c:userShapes xmlns:c="http://schemas.openxmlformats.org/drawingml/2006/chart">
  <cdr:relSizeAnchor xmlns:cdr="http://schemas.openxmlformats.org/drawingml/2006/chartDrawing">
    <cdr:from>
      <cdr:x>0.05553</cdr:x>
      <cdr:y>0.0072</cdr:y>
    </cdr:from>
    <cdr:to>
      <cdr:x>0.95971</cdr:x>
      <cdr:y>0.11702</cdr:y>
    </cdr:to>
    <cdr:sp macro="" textlink="">
      <cdr:nvSpPr>
        <cdr:cNvPr id="2" name="TextBox 1"/>
        <cdr:cNvSpPr txBox="1"/>
      </cdr:nvSpPr>
      <cdr:spPr>
        <a:xfrm xmlns:a="http://schemas.openxmlformats.org/drawingml/2006/main">
          <a:off x="329262" y="20275"/>
          <a:ext cx="5361547" cy="309321"/>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marR="0" indent="0" defTabSz="914400" rtl="0" eaLnBrk="1" fontAlgn="auto" latinLnBrk="0" hangingPunct="1">
            <a:lnSpc>
              <a:spcPct val="100000"/>
            </a:lnSpc>
            <a:spcBef>
              <a:spcPts val="0"/>
            </a:spcBef>
            <a:spcAft>
              <a:spcPts val="0"/>
            </a:spcAft>
            <a:buClrTx/>
            <a:buSzTx/>
            <a:buFontTx/>
            <a:buNone/>
            <a:tabLst/>
            <a:defRPr/>
          </a:pPr>
          <a:r>
            <a:rPr lang="en-US" sz="1600" b="1" i="0" baseline="0">
              <a:solidFill>
                <a:schemeClr val="tx1"/>
              </a:solidFill>
              <a:effectLst/>
              <a:latin typeface="+mn-lt"/>
              <a:ea typeface="+mn-ea"/>
              <a:cs typeface="+mn-cs"/>
            </a:rPr>
            <a:t>OB.DAAC Yearly Percentage of Web Users  Downloading Data</a:t>
          </a:r>
          <a:endParaRPr lang="en-US" sz="1600">
            <a:solidFill>
              <a:schemeClr val="tx1"/>
            </a:solidFill>
          </a:endParaRPr>
        </a:p>
      </cdr:txBody>
    </cdr:sp>
  </cdr:relSizeAnchor>
  <cdr:relSizeAnchor xmlns:cdr="http://schemas.openxmlformats.org/drawingml/2006/chartDrawing">
    <cdr:from>
      <cdr:x>0.32226</cdr:x>
      <cdr:y>0.3929</cdr:y>
    </cdr:from>
    <cdr:to>
      <cdr:x>0.6026</cdr:x>
      <cdr:y>0.50913</cdr:y>
    </cdr:to>
    <cdr:sp macro="" textlink="">
      <cdr:nvSpPr>
        <cdr:cNvPr id="4" name="TextBox 1"/>
        <cdr:cNvSpPr txBox="1"/>
      </cdr:nvSpPr>
      <cdr:spPr>
        <a:xfrm xmlns:a="http://schemas.openxmlformats.org/drawingml/2006/main" rot="19720269">
          <a:off x="2179345" y="1171781"/>
          <a:ext cx="1895870" cy="346643"/>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400" b="1"/>
            <a:t>Data Not Available</a:t>
          </a:r>
        </a:p>
      </cdr:txBody>
    </cdr:sp>
  </cdr:relSizeAnchor>
</c:userShapes>
</file>

<file path=xl/drawings/drawing31.xml><?xml version="1.0" encoding="utf-8"?>
<c:userShapes xmlns:c="http://schemas.openxmlformats.org/drawingml/2006/chart">
  <cdr:relSizeAnchor xmlns:cdr="http://schemas.openxmlformats.org/drawingml/2006/chartDrawing">
    <cdr:from>
      <cdr:x>0.21522</cdr:x>
      <cdr:y>0.01378</cdr:y>
    </cdr:from>
    <cdr:to>
      <cdr:x>0.88059</cdr:x>
      <cdr:y>0.11168</cdr:y>
    </cdr:to>
    <cdr:sp macro="" textlink="">
      <cdr:nvSpPr>
        <cdr:cNvPr id="3" name="TextBox 2"/>
        <cdr:cNvSpPr txBox="1"/>
      </cdr:nvSpPr>
      <cdr:spPr>
        <a:xfrm xmlns:a="http://schemas.openxmlformats.org/drawingml/2006/main">
          <a:off x="1270214" y="39571"/>
          <a:ext cx="3926995" cy="281131"/>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pPr marL="0" marR="0" indent="0" defTabSz="914400" rtl="0" eaLnBrk="1" fontAlgn="auto" latinLnBrk="0" hangingPunct="1">
            <a:lnSpc>
              <a:spcPct val="100000"/>
            </a:lnSpc>
            <a:spcBef>
              <a:spcPts val="0"/>
            </a:spcBef>
            <a:spcAft>
              <a:spcPts val="0"/>
            </a:spcAft>
            <a:buClrTx/>
            <a:buSzTx/>
            <a:buFontTx/>
            <a:buNone/>
            <a:tabLst/>
            <a:defRPr/>
          </a:pPr>
          <a:r>
            <a:rPr lang="en-US" sz="1600" b="1" i="0" baseline="0">
              <a:effectLst/>
              <a:latin typeface="+mn-lt"/>
              <a:ea typeface="+mn-ea"/>
              <a:cs typeface="+mn-cs"/>
            </a:rPr>
            <a:t>OB.DAAC Multi-Year Trend for Web Accesses- GA</a:t>
          </a:r>
          <a:endParaRPr lang="en-US" sz="1600">
            <a:effectLst/>
          </a:endParaRPr>
        </a:p>
        <a:p xmlns:a="http://schemas.openxmlformats.org/drawingml/2006/main">
          <a:endParaRPr lang="en-US" sz="1600"/>
        </a:p>
      </cdr:txBody>
    </cdr:sp>
  </cdr:relSizeAnchor>
</c:userShapes>
</file>

<file path=xl/drawings/drawing32.xml><?xml version="1.0" encoding="utf-8"?>
<xdr:wsDr xmlns:xdr="http://schemas.openxmlformats.org/drawingml/2006/spreadsheetDrawing" xmlns:a="http://schemas.openxmlformats.org/drawingml/2006/main">
  <xdr:twoCellAnchor>
    <xdr:from>
      <xdr:col>1</xdr:col>
      <xdr:colOff>26898</xdr:colOff>
      <xdr:row>12</xdr:row>
      <xdr:rowOff>223658</xdr:rowOff>
    </xdr:from>
    <xdr:to>
      <xdr:col>3</xdr:col>
      <xdr:colOff>1411111</xdr:colOff>
      <xdr:row>21</xdr:row>
      <xdr:rowOff>310445</xdr:rowOff>
    </xdr:to>
    <xdr:graphicFrame macro="">
      <xdr:nvGraphicFramePr>
        <xdr:cNvPr id="2" name="Chart 1">
          <a:extLst>
            <a:ext uri="{FF2B5EF4-FFF2-40B4-BE49-F238E27FC236}">
              <a16:creationId xmlns:a16="http://schemas.microsoft.com/office/drawing/2014/main" id="{00000000-0008-0000-0C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9007</xdr:colOff>
      <xdr:row>22</xdr:row>
      <xdr:rowOff>112636</xdr:rowOff>
    </xdr:from>
    <xdr:to>
      <xdr:col>11</xdr:col>
      <xdr:colOff>28222</xdr:colOff>
      <xdr:row>31</xdr:row>
      <xdr:rowOff>289277</xdr:rowOff>
    </xdr:to>
    <xdr:graphicFrame macro="">
      <xdr:nvGraphicFramePr>
        <xdr:cNvPr id="3" name="Chart 2">
          <a:extLst>
            <a:ext uri="{FF2B5EF4-FFF2-40B4-BE49-F238E27FC236}">
              <a16:creationId xmlns:a16="http://schemas.microsoft.com/office/drawing/2014/main" id="{00000000-0008-0000-0C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261181</xdr:colOff>
      <xdr:row>12</xdr:row>
      <xdr:rowOff>220925</xdr:rowOff>
    </xdr:from>
    <xdr:to>
      <xdr:col>10</xdr:col>
      <xdr:colOff>2237116</xdr:colOff>
      <xdr:row>21</xdr:row>
      <xdr:rowOff>294126</xdr:rowOff>
    </xdr:to>
    <xdr:graphicFrame macro="">
      <xdr:nvGraphicFramePr>
        <xdr:cNvPr id="5" name="Chart 4">
          <a:extLst>
            <a:ext uri="{FF2B5EF4-FFF2-40B4-BE49-F238E27FC236}">
              <a16:creationId xmlns:a16="http://schemas.microsoft.com/office/drawing/2014/main" id="{00000000-0008-0000-0C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17636</xdr:colOff>
      <xdr:row>22</xdr:row>
      <xdr:rowOff>127000</xdr:rowOff>
    </xdr:from>
    <xdr:to>
      <xdr:col>4</xdr:col>
      <xdr:colOff>0</xdr:colOff>
      <xdr:row>31</xdr:row>
      <xdr:rowOff>225778</xdr:rowOff>
    </xdr:to>
    <xdr:graphicFrame macro="">
      <xdr:nvGraphicFramePr>
        <xdr:cNvPr id="6" name="Chart 5">
          <a:extLst>
            <a:ext uri="{FF2B5EF4-FFF2-40B4-BE49-F238E27FC236}">
              <a16:creationId xmlns:a16="http://schemas.microsoft.com/office/drawing/2014/main" id="{00000000-0008-0000-0C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xdr:col>
      <xdr:colOff>1016000</xdr:colOff>
      <xdr:row>28</xdr:row>
      <xdr:rowOff>28221</xdr:rowOff>
    </xdr:from>
    <xdr:to>
      <xdr:col>10</xdr:col>
      <xdr:colOff>2088442</xdr:colOff>
      <xdr:row>29</xdr:row>
      <xdr:rowOff>296333</xdr:rowOff>
    </xdr:to>
    <xdr:sp macro="" textlink="">
      <xdr:nvSpPr>
        <xdr:cNvPr id="8" name="TextBox 1">
          <a:extLst>
            <a:ext uri="{FF2B5EF4-FFF2-40B4-BE49-F238E27FC236}">
              <a16:creationId xmlns:a16="http://schemas.microsoft.com/office/drawing/2014/main" id="{00000000-0008-0000-0C00-000008000000}"/>
            </a:ext>
          </a:extLst>
        </xdr:cNvPr>
        <xdr:cNvSpPr txBox="1"/>
      </xdr:nvSpPr>
      <xdr:spPr>
        <a:xfrm>
          <a:off x="12460111" y="8226777"/>
          <a:ext cx="2215442" cy="592667"/>
        </a:xfrm>
        <a:prstGeom prst="rect">
          <a:avLst/>
        </a:prstGeom>
      </xdr:spPr>
      <xdr:txBody>
        <a:bodyPr wrap="square" rtlCol="0">
          <a:sp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en-US" sz="1100" b="1">
              <a:latin typeface="Arial" panose="020B0604020202020204" pitchFamily="34" charset="0"/>
              <a:cs typeface="Arial" panose="020B0604020202020204" pitchFamily="34" charset="0"/>
            </a:rPr>
            <a:t>FY20 data is not available due to unavailability of IPadress in Google</a:t>
          </a:r>
          <a:r>
            <a:rPr lang="en-US" sz="1100" b="1" baseline="0">
              <a:latin typeface="Arial" panose="020B0604020202020204" pitchFamily="34" charset="0"/>
              <a:cs typeface="Arial" panose="020B0604020202020204" pitchFamily="34" charset="0"/>
            </a:rPr>
            <a:t> Analytics</a:t>
          </a:r>
          <a:r>
            <a:rPr lang="en-US" sz="1100" b="1">
              <a:latin typeface="Arial" panose="020B0604020202020204" pitchFamily="34" charset="0"/>
              <a:cs typeface="Arial" panose="020B0604020202020204" pitchFamily="34" charset="0"/>
            </a:rPr>
            <a:t>.</a:t>
          </a:r>
        </a:p>
      </xdr:txBody>
    </xdr:sp>
    <xdr:clientData/>
  </xdr:twoCellAnchor>
</xdr:wsDr>
</file>

<file path=xl/drawings/drawing33.xml><?xml version="1.0" encoding="utf-8"?>
<c:userShapes xmlns:c="http://schemas.openxmlformats.org/drawingml/2006/chart">
  <cdr:relSizeAnchor xmlns:cdr="http://schemas.openxmlformats.org/drawingml/2006/chartDrawing">
    <cdr:from>
      <cdr:x>0.13119</cdr:x>
      <cdr:y>0.00715</cdr:y>
    </cdr:from>
    <cdr:to>
      <cdr:x>1</cdr:x>
      <cdr:y>0.12761</cdr:y>
    </cdr:to>
    <cdr:sp macro="" textlink="">
      <cdr:nvSpPr>
        <cdr:cNvPr id="2" name="TextBox 1"/>
        <cdr:cNvSpPr txBox="1"/>
      </cdr:nvSpPr>
      <cdr:spPr>
        <a:xfrm xmlns:a="http://schemas.openxmlformats.org/drawingml/2006/main">
          <a:off x="830471" y="21167"/>
          <a:ext cx="5499937" cy="356558"/>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marR="0" indent="0" defTabSz="914400" rtl="0" eaLnBrk="1" fontAlgn="auto" latinLnBrk="0" hangingPunct="1">
            <a:lnSpc>
              <a:spcPct val="100000"/>
            </a:lnSpc>
            <a:spcBef>
              <a:spcPts val="0"/>
            </a:spcBef>
            <a:spcAft>
              <a:spcPts val="0"/>
            </a:spcAft>
            <a:buClrTx/>
            <a:buSzTx/>
            <a:buFontTx/>
            <a:buNone/>
            <a:tabLst/>
            <a:defRPr/>
          </a:pPr>
          <a:r>
            <a:rPr lang="en-US" sz="1600" b="1" i="0" baseline="0">
              <a:solidFill>
                <a:schemeClr val="tx1"/>
              </a:solidFill>
              <a:effectLst/>
              <a:latin typeface="+mn-lt"/>
              <a:ea typeface="+mn-ea"/>
              <a:cs typeface="+mn-cs"/>
            </a:rPr>
            <a:t>PO.DAAC Yearly Percentage of Web Users  Downloading Data</a:t>
          </a:r>
          <a:endParaRPr lang="en-US" sz="1600">
            <a:solidFill>
              <a:schemeClr val="tx1"/>
            </a:solidFill>
          </a:endParaRPr>
        </a:p>
      </cdr:txBody>
    </cdr:sp>
  </cdr:relSizeAnchor>
</c:userShapes>
</file>

<file path=xl/drawings/drawing34.xml><?xml version="1.0" encoding="utf-8"?>
<c:userShapes xmlns:c="http://schemas.openxmlformats.org/drawingml/2006/chart">
  <cdr:relSizeAnchor xmlns:cdr="http://schemas.openxmlformats.org/drawingml/2006/chartDrawing">
    <cdr:from>
      <cdr:x>0.20979</cdr:x>
      <cdr:y>0.01378</cdr:y>
    </cdr:from>
    <cdr:to>
      <cdr:x>0.87516</cdr:x>
      <cdr:y>0.11168</cdr:y>
    </cdr:to>
    <cdr:sp macro="" textlink="">
      <cdr:nvSpPr>
        <cdr:cNvPr id="3" name="TextBox 2"/>
        <cdr:cNvSpPr txBox="1"/>
      </cdr:nvSpPr>
      <cdr:spPr>
        <a:xfrm xmlns:a="http://schemas.openxmlformats.org/drawingml/2006/main">
          <a:off x="1236277" y="40640"/>
          <a:ext cx="3920894" cy="288729"/>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pPr marL="0" marR="0" indent="0" defTabSz="914400" rtl="0" eaLnBrk="1" fontAlgn="auto" latinLnBrk="0" hangingPunct="1">
            <a:lnSpc>
              <a:spcPct val="100000"/>
            </a:lnSpc>
            <a:spcBef>
              <a:spcPts val="0"/>
            </a:spcBef>
            <a:spcAft>
              <a:spcPts val="0"/>
            </a:spcAft>
            <a:buClrTx/>
            <a:buSzTx/>
            <a:buFontTx/>
            <a:buNone/>
            <a:tabLst/>
            <a:defRPr/>
          </a:pPr>
          <a:r>
            <a:rPr lang="en-US" sz="1600" b="1" i="0" baseline="0">
              <a:effectLst/>
              <a:latin typeface="+mn-lt"/>
              <a:ea typeface="+mn-ea"/>
              <a:cs typeface="+mn-cs"/>
            </a:rPr>
            <a:t>PO.DAAC Multi-Year Trend for Web Accesses-GA</a:t>
          </a:r>
          <a:endParaRPr lang="en-US" sz="1600">
            <a:effectLst/>
          </a:endParaRPr>
        </a:p>
        <a:p xmlns:a="http://schemas.openxmlformats.org/drawingml/2006/main">
          <a:endParaRPr lang="en-US" sz="1600"/>
        </a:p>
      </cdr:txBody>
    </cdr:sp>
  </cdr:relSizeAnchor>
</c:userShapes>
</file>

<file path=xl/drawings/drawing35.xml><?xml version="1.0" encoding="utf-8"?>
<xdr:wsDr xmlns:xdr="http://schemas.openxmlformats.org/drawingml/2006/spreadsheetDrawing" xmlns:a="http://schemas.openxmlformats.org/drawingml/2006/main">
  <xdr:twoCellAnchor>
    <xdr:from>
      <xdr:col>1</xdr:col>
      <xdr:colOff>10584</xdr:colOff>
      <xdr:row>12</xdr:row>
      <xdr:rowOff>193231</xdr:rowOff>
    </xdr:from>
    <xdr:to>
      <xdr:col>4</xdr:col>
      <xdr:colOff>89</xdr:colOff>
      <xdr:row>21</xdr:row>
      <xdr:rowOff>271373</xdr:rowOff>
    </xdr:to>
    <xdr:graphicFrame macro="">
      <xdr:nvGraphicFramePr>
        <xdr:cNvPr id="2" name="Chart 1">
          <a:extLst>
            <a:ext uri="{FF2B5EF4-FFF2-40B4-BE49-F238E27FC236}">
              <a16:creationId xmlns:a16="http://schemas.microsoft.com/office/drawing/2014/main" id="{00000000-0008-0000-0D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20414</xdr:colOff>
      <xdr:row>22</xdr:row>
      <xdr:rowOff>53042</xdr:rowOff>
    </xdr:from>
    <xdr:to>
      <xdr:col>11</xdr:col>
      <xdr:colOff>14112</xdr:colOff>
      <xdr:row>31</xdr:row>
      <xdr:rowOff>183445</xdr:rowOff>
    </xdr:to>
    <xdr:graphicFrame macro="">
      <xdr:nvGraphicFramePr>
        <xdr:cNvPr id="3" name="Chart 2">
          <a:extLst>
            <a:ext uri="{FF2B5EF4-FFF2-40B4-BE49-F238E27FC236}">
              <a16:creationId xmlns:a16="http://schemas.microsoft.com/office/drawing/2014/main" id="{00000000-0008-0000-0D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5479</xdr:colOff>
      <xdr:row>12</xdr:row>
      <xdr:rowOff>220422</xdr:rowOff>
    </xdr:from>
    <xdr:to>
      <xdr:col>11</xdr:col>
      <xdr:colOff>5859</xdr:colOff>
      <xdr:row>21</xdr:row>
      <xdr:rowOff>306915</xdr:rowOff>
    </xdr:to>
    <xdr:graphicFrame macro="">
      <xdr:nvGraphicFramePr>
        <xdr:cNvPr id="5" name="Chart 4">
          <a:extLst>
            <a:ext uri="{FF2B5EF4-FFF2-40B4-BE49-F238E27FC236}">
              <a16:creationId xmlns:a16="http://schemas.microsoft.com/office/drawing/2014/main" id="{00000000-0008-0000-0D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24694</xdr:colOff>
      <xdr:row>22</xdr:row>
      <xdr:rowOff>28223</xdr:rowOff>
    </xdr:from>
    <xdr:to>
      <xdr:col>3</xdr:col>
      <xdr:colOff>1411111</xdr:colOff>
      <xdr:row>31</xdr:row>
      <xdr:rowOff>112889</xdr:rowOff>
    </xdr:to>
    <xdr:graphicFrame macro="">
      <xdr:nvGraphicFramePr>
        <xdr:cNvPr id="6" name="Chart 5">
          <a:extLst>
            <a:ext uri="{FF2B5EF4-FFF2-40B4-BE49-F238E27FC236}">
              <a16:creationId xmlns:a16="http://schemas.microsoft.com/office/drawing/2014/main" id="{00000000-0008-0000-0D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xdr:col>
      <xdr:colOff>973666</xdr:colOff>
      <xdr:row>28</xdr:row>
      <xdr:rowOff>42333</xdr:rowOff>
    </xdr:from>
    <xdr:to>
      <xdr:col>10</xdr:col>
      <xdr:colOff>2046108</xdr:colOff>
      <xdr:row>29</xdr:row>
      <xdr:rowOff>310445</xdr:rowOff>
    </xdr:to>
    <xdr:sp macro="" textlink="">
      <xdr:nvSpPr>
        <xdr:cNvPr id="8" name="TextBox 1">
          <a:extLst>
            <a:ext uri="{FF2B5EF4-FFF2-40B4-BE49-F238E27FC236}">
              <a16:creationId xmlns:a16="http://schemas.microsoft.com/office/drawing/2014/main" id="{00000000-0008-0000-0D00-000008000000}"/>
            </a:ext>
          </a:extLst>
        </xdr:cNvPr>
        <xdr:cNvSpPr txBox="1"/>
      </xdr:nvSpPr>
      <xdr:spPr>
        <a:xfrm>
          <a:off x="12361333" y="8255000"/>
          <a:ext cx="2215442" cy="592667"/>
        </a:xfrm>
        <a:prstGeom prst="rect">
          <a:avLst/>
        </a:prstGeom>
      </xdr:spPr>
      <xdr:txBody>
        <a:bodyPr wrap="square" rtlCol="0">
          <a:sp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en-US" sz="1100" b="1">
              <a:latin typeface="Arial" panose="020B0604020202020204" pitchFamily="34" charset="0"/>
              <a:cs typeface="Arial" panose="020B0604020202020204" pitchFamily="34" charset="0"/>
            </a:rPr>
            <a:t>FY20 data is not available due to unavailability of IPadress in Google</a:t>
          </a:r>
          <a:r>
            <a:rPr lang="en-US" sz="1100" b="1" baseline="0">
              <a:latin typeface="Arial" panose="020B0604020202020204" pitchFamily="34" charset="0"/>
              <a:cs typeface="Arial" panose="020B0604020202020204" pitchFamily="34" charset="0"/>
            </a:rPr>
            <a:t> Analytics</a:t>
          </a:r>
          <a:r>
            <a:rPr lang="en-US" sz="1100" b="1">
              <a:latin typeface="Arial" panose="020B0604020202020204" pitchFamily="34" charset="0"/>
              <a:cs typeface="Arial" panose="020B0604020202020204" pitchFamily="34" charset="0"/>
            </a:rPr>
            <a:t>.</a:t>
          </a:r>
        </a:p>
      </xdr:txBody>
    </xdr:sp>
    <xdr:clientData/>
  </xdr:twoCellAnchor>
</xdr:wsDr>
</file>

<file path=xl/drawings/drawing36.xml><?xml version="1.0" encoding="utf-8"?>
<c:userShapes xmlns:c="http://schemas.openxmlformats.org/drawingml/2006/chart">
  <cdr:relSizeAnchor xmlns:cdr="http://schemas.openxmlformats.org/drawingml/2006/chartDrawing">
    <cdr:from>
      <cdr:x>0.13063</cdr:x>
      <cdr:y>0.01078</cdr:y>
    </cdr:from>
    <cdr:to>
      <cdr:x>0.95641</cdr:x>
      <cdr:y>0.1061</cdr:y>
    </cdr:to>
    <cdr:sp macro="" textlink="">
      <cdr:nvSpPr>
        <cdr:cNvPr id="2" name="TextBox 1"/>
        <cdr:cNvSpPr txBox="1"/>
      </cdr:nvSpPr>
      <cdr:spPr>
        <a:xfrm xmlns:a="http://schemas.openxmlformats.org/drawingml/2006/main">
          <a:off x="824538" y="31842"/>
          <a:ext cx="5212245" cy="281444"/>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marR="0" indent="0" defTabSz="914400" rtl="0" eaLnBrk="1" fontAlgn="auto" latinLnBrk="0" hangingPunct="1">
            <a:lnSpc>
              <a:spcPct val="100000"/>
            </a:lnSpc>
            <a:spcBef>
              <a:spcPts val="0"/>
            </a:spcBef>
            <a:spcAft>
              <a:spcPts val="0"/>
            </a:spcAft>
            <a:buClrTx/>
            <a:buSzTx/>
            <a:buFontTx/>
            <a:buNone/>
            <a:tabLst/>
            <a:defRPr/>
          </a:pPr>
          <a:r>
            <a:rPr lang="en-US" sz="1600" b="1" i="0" baseline="0">
              <a:solidFill>
                <a:schemeClr val="tx1"/>
              </a:solidFill>
              <a:effectLst/>
              <a:latin typeface="+mn-lt"/>
              <a:ea typeface="+mn-ea"/>
              <a:cs typeface="+mn-cs"/>
            </a:rPr>
            <a:t>SEDAC Yearly Percentage of Web Users  Downloading Data</a:t>
          </a:r>
          <a:endParaRPr lang="en-US" sz="1600">
            <a:solidFill>
              <a:schemeClr val="tx1"/>
            </a:solidFill>
          </a:endParaRPr>
        </a:p>
      </cdr:txBody>
    </cdr:sp>
  </cdr:relSizeAnchor>
</c:userShapes>
</file>

<file path=xl/drawings/drawing37.xml><?xml version="1.0" encoding="utf-8"?>
<c:userShapes xmlns:c="http://schemas.openxmlformats.org/drawingml/2006/chart">
  <cdr:relSizeAnchor xmlns:cdr="http://schemas.openxmlformats.org/drawingml/2006/chartDrawing">
    <cdr:from>
      <cdr:x>0.23853</cdr:x>
      <cdr:y>0.01378</cdr:y>
    </cdr:from>
    <cdr:to>
      <cdr:x>0.9039</cdr:x>
      <cdr:y>0.11168</cdr:y>
    </cdr:to>
    <cdr:sp macro="" textlink="">
      <cdr:nvSpPr>
        <cdr:cNvPr id="3" name="TextBox 2"/>
        <cdr:cNvSpPr txBox="1"/>
      </cdr:nvSpPr>
      <cdr:spPr>
        <a:xfrm xmlns:a="http://schemas.openxmlformats.org/drawingml/2006/main">
          <a:off x="1451568" y="39365"/>
          <a:ext cx="4049052" cy="279749"/>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pPr marL="0" marR="0" indent="0" defTabSz="914400" rtl="0" eaLnBrk="1" fontAlgn="auto" latinLnBrk="0" hangingPunct="1">
            <a:lnSpc>
              <a:spcPct val="100000"/>
            </a:lnSpc>
            <a:spcBef>
              <a:spcPts val="0"/>
            </a:spcBef>
            <a:spcAft>
              <a:spcPts val="0"/>
            </a:spcAft>
            <a:buClrTx/>
            <a:buSzTx/>
            <a:buFontTx/>
            <a:buNone/>
            <a:tabLst/>
            <a:defRPr/>
          </a:pPr>
          <a:r>
            <a:rPr lang="en-US" sz="1600" b="1" i="0" baseline="0">
              <a:effectLst/>
              <a:latin typeface="+mn-lt"/>
              <a:ea typeface="+mn-ea"/>
              <a:cs typeface="+mn-cs"/>
            </a:rPr>
            <a:t>SEDAC Multi-Year Trend for Web Accesses-GA</a:t>
          </a:r>
          <a:endParaRPr lang="en-US" sz="1600">
            <a:effectLst/>
          </a:endParaRPr>
        </a:p>
        <a:p xmlns:a="http://schemas.openxmlformats.org/drawingml/2006/main">
          <a:endParaRPr lang="en-US" sz="1600"/>
        </a:p>
      </cdr:txBody>
    </cdr:sp>
  </cdr:relSizeAnchor>
</c:userShapes>
</file>

<file path=xl/drawings/drawing38.xml><?xml version="1.0" encoding="utf-8"?>
<xdr:wsDr xmlns:xdr="http://schemas.openxmlformats.org/drawingml/2006/spreadsheetDrawing" xmlns:a="http://schemas.openxmlformats.org/drawingml/2006/main">
  <xdr:twoCellAnchor>
    <xdr:from>
      <xdr:col>1</xdr:col>
      <xdr:colOff>5745</xdr:colOff>
      <xdr:row>14</xdr:row>
      <xdr:rowOff>15256</xdr:rowOff>
    </xdr:from>
    <xdr:to>
      <xdr:col>4</xdr:col>
      <xdr:colOff>14111</xdr:colOff>
      <xdr:row>23</xdr:row>
      <xdr:rowOff>215194</xdr:rowOff>
    </xdr:to>
    <xdr:graphicFrame macro="">
      <xdr:nvGraphicFramePr>
        <xdr:cNvPr id="2" name="Chart 1">
          <a:extLst>
            <a:ext uri="{FF2B5EF4-FFF2-40B4-BE49-F238E27FC236}">
              <a16:creationId xmlns:a16="http://schemas.microsoft.com/office/drawing/2014/main" id="{00000000-0008-0000-0E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265303</xdr:colOff>
      <xdr:row>24</xdr:row>
      <xdr:rowOff>36537</xdr:rowOff>
    </xdr:from>
    <xdr:to>
      <xdr:col>10</xdr:col>
      <xdr:colOff>2243665</xdr:colOff>
      <xdr:row>33</xdr:row>
      <xdr:rowOff>84666</xdr:rowOff>
    </xdr:to>
    <xdr:graphicFrame macro="">
      <xdr:nvGraphicFramePr>
        <xdr:cNvPr id="3" name="Chart 2">
          <a:extLst>
            <a:ext uri="{FF2B5EF4-FFF2-40B4-BE49-F238E27FC236}">
              <a16:creationId xmlns:a16="http://schemas.microsoft.com/office/drawing/2014/main" id="{00000000-0008-0000-0E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26661</xdr:colOff>
      <xdr:row>13</xdr:row>
      <xdr:rowOff>243703</xdr:rowOff>
    </xdr:from>
    <xdr:to>
      <xdr:col>11</xdr:col>
      <xdr:colOff>14111</xdr:colOff>
      <xdr:row>23</xdr:row>
      <xdr:rowOff>225778</xdr:rowOff>
    </xdr:to>
    <xdr:graphicFrame macro="">
      <xdr:nvGraphicFramePr>
        <xdr:cNvPr id="5" name="Chart 4">
          <a:extLst>
            <a:ext uri="{FF2B5EF4-FFF2-40B4-BE49-F238E27FC236}">
              <a16:creationId xmlns:a16="http://schemas.microsoft.com/office/drawing/2014/main" id="{00000000-0008-0000-0E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21165</xdr:colOff>
      <xdr:row>24</xdr:row>
      <xdr:rowOff>28222</xdr:rowOff>
    </xdr:from>
    <xdr:to>
      <xdr:col>4</xdr:col>
      <xdr:colOff>14111</xdr:colOff>
      <xdr:row>33</xdr:row>
      <xdr:rowOff>49389</xdr:rowOff>
    </xdr:to>
    <xdr:graphicFrame macro="">
      <xdr:nvGraphicFramePr>
        <xdr:cNvPr id="6" name="Chart 5">
          <a:extLst>
            <a:ext uri="{FF2B5EF4-FFF2-40B4-BE49-F238E27FC236}">
              <a16:creationId xmlns:a16="http://schemas.microsoft.com/office/drawing/2014/main" id="{00000000-0008-0000-0E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39.xml><?xml version="1.0" encoding="utf-8"?>
<c:userShapes xmlns:c="http://schemas.openxmlformats.org/drawingml/2006/chart">
  <cdr:relSizeAnchor xmlns:cdr="http://schemas.openxmlformats.org/drawingml/2006/chartDrawing">
    <cdr:from>
      <cdr:x>0.10666</cdr:x>
      <cdr:y>0.03378</cdr:y>
    </cdr:from>
    <cdr:to>
      <cdr:x>1</cdr:x>
      <cdr:y>0.15369</cdr:y>
    </cdr:to>
    <cdr:sp macro="" textlink="">
      <cdr:nvSpPr>
        <cdr:cNvPr id="2" name="TextBox 1"/>
        <cdr:cNvSpPr txBox="1"/>
      </cdr:nvSpPr>
      <cdr:spPr>
        <a:xfrm xmlns:a="http://schemas.openxmlformats.org/drawingml/2006/main">
          <a:off x="640532" y="96574"/>
          <a:ext cx="5365058" cy="342786"/>
        </a:xfrm>
        <a:prstGeom xmlns:a="http://schemas.openxmlformats.org/drawingml/2006/main" prst="rect">
          <a:avLst/>
        </a:prstGeom>
      </cdr:spPr>
      <cdr:txBody>
        <a:bodyPr xmlns:a="http://schemas.openxmlformats.org/drawingml/2006/main" vertOverflow="clip" wrap="none" rtlCol="0">
          <a:spAutoFit/>
        </a:bodyPr>
        <a:lstStyle xmlns:a="http://schemas.openxmlformats.org/drawingml/2006/main"/>
        <a:p xmlns:a="http://schemas.openxmlformats.org/drawingml/2006/main">
          <a:pPr rtl="0"/>
          <a:r>
            <a:rPr lang="en-US" sz="1600" b="1" i="0" baseline="0">
              <a:effectLst/>
              <a:latin typeface="+mn-lt"/>
              <a:ea typeface="+mn-ea"/>
              <a:cs typeface="+mn-cs"/>
            </a:rPr>
            <a:t>LANCE Multi-Year Weekly Average Production Volume Trend</a:t>
          </a:r>
          <a:endParaRPr lang="en-US" sz="1600">
            <a:effectLst/>
          </a:endParaRPr>
        </a:p>
      </cdr:txBody>
    </cdr:sp>
  </cdr:relSizeAnchor>
</c:userShapes>
</file>

<file path=xl/drawings/drawing4.xml><?xml version="1.0" encoding="utf-8"?>
<xdr:wsDr xmlns:xdr="http://schemas.openxmlformats.org/drawingml/2006/spreadsheetDrawing" xmlns:a="http://schemas.openxmlformats.org/drawingml/2006/main">
  <xdr:twoCellAnchor>
    <xdr:from>
      <xdr:col>1</xdr:col>
      <xdr:colOff>10582</xdr:colOff>
      <xdr:row>13</xdr:row>
      <xdr:rowOff>219248</xdr:rowOff>
    </xdr:from>
    <xdr:to>
      <xdr:col>3</xdr:col>
      <xdr:colOff>1386416</xdr:colOff>
      <xdr:row>23</xdr:row>
      <xdr:rowOff>81138</xdr:rowOff>
    </xdr:to>
    <xdr:graphicFrame macro="">
      <xdr:nvGraphicFramePr>
        <xdr:cNvPr id="2" name="Chart 1">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35279</xdr:colOff>
      <xdr:row>23</xdr:row>
      <xdr:rowOff>285748</xdr:rowOff>
    </xdr:from>
    <xdr:to>
      <xdr:col>11</xdr:col>
      <xdr:colOff>70557</xdr:colOff>
      <xdr:row>33</xdr:row>
      <xdr:rowOff>0</xdr:rowOff>
    </xdr:to>
    <xdr:graphicFrame macro="">
      <xdr:nvGraphicFramePr>
        <xdr:cNvPr id="3" name="Chart 2">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7055</xdr:colOff>
      <xdr:row>13</xdr:row>
      <xdr:rowOff>204609</xdr:rowOff>
    </xdr:from>
    <xdr:to>
      <xdr:col>11</xdr:col>
      <xdr:colOff>52917</xdr:colOff>
      <xdr:row>23</xdr:row>
      <xdr:rowOff>67026</xdr:rowOff>
    </xdr:to>
    <xdr:graphicFrame macro="">
      <xdr:nvGraphicFramePr>
        <xdr:cNvPr id="5" name="Chart 4">
          <a:extLst>
            <a:ext uri="{FF2B5EF4-FFF2-40B4-BE49-F238E27FC236}">
              <a16:creationId xmlns:a16="http://schemas.microsoft.com/office/drawing/2014/main" id="{00000000-0008-0000-03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10585</xdr:colOff>
      <xdr:row>23</xdr:row>
      <xdr:rowOff>271639</xdr:rowOff>
    </xdr:from>
    <xdr:to>
      <xdr:col>3</xdr:col>
      <xdr:colOff>1382889</xdr:colOff>
      <xdr:row>32</xdr:row>
      <xdr:rowOff>254000</xdr:rowOff>
    </xdr:to>
    <xdr:graphicFrame macro="">
      <xdr:nvGraphicFramePr>
        <xdr:cNvPr id="6" name="Chart 5">
          <a:extLst>
            <a:ext uri="{FF2B5EF4-FFF2-40B4-BE49-F238E27FC236}">
              <a16:creationId xmlns:a16="http://schemas.microsoft.com/office/drawing/2014/main" id="{00000000-0008-0000-03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xdr:col>
      <xdr:colOff>1072443</xdr:colOff>
      <xdr:row>29</xdr:row>
      <xdr:rowOff>42333</xdr:rowOff>
    </xdr:from>
    <xdr:to>
      <xdr:col>10</xdr:col>
      <xdr:colOff>2144885</xdr:colOff>
      <xdr:row>30</xdr:row>
      <xdr:rowOff>310444</xdr:rowOff>
    </xdr:to>
    <xdr:sp macro="" textlink="">
      <xdr:nvSpPr>
        <xdr:cNvPr id="8" name="TextBox 1">
          <a:extLst>
            <a:ext uri="{FF2B5EF4-FFF2-40B4-BE49-F238E27FC236}">
              <a16:creationId xmlns:a16="http://schemas.microsoft.com/office/drawing/2014/main" id="{00000000-0008-0000-0300-000008000000}"/>
            </a:ext>
          </a:extLst>
        </xdr:cNvPr>
        <xdr:cNvSpPr txBox="1"/>
      </xdr:nvSpPr>
      <xdr:spPr>
        <a:xfrm>
          <a:off x="12601221" y="8579555"/>
          <a:ext cx="2215442" cy="592667"/>
        </a:xfrm>
        <a:prstGeom prst="rect">
          <a:avLst/>
        </a:prstGeom>
      </xdr:spPr>
      <xdr:txBody>
        <a:bodyPr wrap="square" rtlCol="0">
          <a:sp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en-US" sz="1100" b="1">
              <a:latin typeface="Arial" panose="020B0604020202020204" pitchFamily="34" charset="0"/>
              <a:cs typeface="Arial" panose="020B0604020202020204" pitchFamily="34" charset="0"/>
            </a:rPr>
            <a:t>FY20 data is not available due to unavailability of IPadress in Google</a:t>
          </a:r>
          <a:r>
            <a:rPr lang="en-US" sz="1100" b="1" baseline="0">
              <a:latin typeface="Arial" panose="020B0604020202020204" pitchFamily="34" charset="0"/>
              <a:cs typeface="Arial" panose="020B0604020202020204" pitchFamily="34" charset="0"/>
            </a:rPr>
            <a:t> Analytics</a:t>
          </a:r>
          <a:r>
            <a:rPr lang="en-US" sz="1100" b="1">
              <a:latin typeface="Arial" panose="020B0604020202020204" pitchFamily="34" charset="0"/>
              <a:cs typeface="Arial" panose="020B0604020202020204" pitchFamily="34" charset="0"/>
            </a:rPr>
            <a:t>.</a:t>
          </a:r>
        </a:p>
      </xdr:txBody>
    </xdr:sp>
    <xdr:clientData/>
  </xdr:twoCellAnchor>
</xdr:wsDr>
</file>

<file path=xl/drawings/drawing40.xml><?xml version="1.0" encoding="utf-8"?>
<c:userShapes xmlns:c="http://schemas.openxmlformats.org/drawingml/2006/chart">
  <cdr:relSizeAnchor xmlns:cdr="http://schemas.openxmlformats.org/drawingml/2006/chartDrawing">
    <cdr:from>
      <cdr:x>0.19172</cdr:x>
      <cdr:y>0.01686</cdr:y>
    </cdr:from>
    <cdr:to>
      <cdr:x>0.86792</cdr:x>
      <cdr:y>0.14117</cdr:y>
    </cdr:to>
    <cdr:sp macro="" textlink="">
      <cdr:nvSpPr>
        <cdr:cNvPr id="2" name="TextBox 1"/>
        <cdr:cNvSpPr txBox="1"/>
      </cdr:nvSpPr>
      <cdr:spPr>
        <a:xfrm xmlns:a="http://schemas.openxmlformats.org/drawingml/2006/main">
          <a:off x="1136830" y="47488"/>
          <a:ext cx="4009694" cy="350144"/>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rtl="0"/>
          <a:r>
            <a:rPr lang="en-US" sz="1600" b="1" i="0" baseline="0">
              <a:effectLst/>
              <a:latin typeface="+mn-lt"/>
              <a:ea typeface="+mn-ea"/>
              <a:cs typeface="+mn-cs"/>
            </a:rPr>
            <a:t>LANCE Multi-Year Volume Distribution Trend</a:t>
          </a:r>
          <a:endParaRPr lang="en-US" sz="1600">
            <a:effectLst/>
          </a:endParaRPr>
        </a:p>
      </cdr:txBody>
    </cdr:sp>
  </cdr:relSizeAnchor>
</c:userShapes>
</file>

<file path=xl/drawings/drawing41.xml><?xml version="1.0" encoding="utf-8"?>
<c:userShapes xmlns:c="http://schemas.openxmlformats.org/drawingml/2006/chart">
  <cdr:relSizeAnchor xmlns:cdr="http://schemas.openxmlformats.org/drawingml/2006/chartDrawing">
    <cdr:from>
      <cdr:x>0.23853</cdr:x>
      <cdr:y>0.01378</cdr:y>
    </cdr:from>
    <cdr:to>
      <cdr:x>0.9039</cdr:x>
      <cdr:y>0.11168</cdr:y>
    </cdr:to>
    <cdr:sp macro="" textlink="">
      <cdr:nvSpPr>
        <cdr:cNvPr id="3" name="TextBox 2"/>
        <cdr:cNvSpPr txBox="1"/>
      </cdr:nvSpPr>
      <cdr:spPr>
        <a:xfrm xmlns:a="http://schemas.openxmlformats.org/drawingml/2006/main">
          <a:off x="1451568" y="39365"/>
          <a:ext cx="4049052" cy="279749"/>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pPr marL="0" marR="0" indent="0" defTabSz="914400" rtl="0" eaLnBrk="1" fontAlgn="auto" latinLnBrk="0" hangingPunct="1">
            <a:lnSpc>
              <a:spcPct val="100000"/>
            </a:lnSpc>
            <a:spcBef>
              <a:spcPts val="0"/>
            </a:spcBef>
            <a:spcAft>
              <a:spcPts val="0"/>
            </a:spcAft>
            <a:buClrTx/>
            <a:buSzTx/>
            <a:buFontTx/>
            <a:buNone/>
            <a:tabLst/>
            <a:defRPr/>
          </a:pPr>
          <a:r>
            <a:rPr lang="en-US" sz="1600" b="1" i="0" baseline="0">
              <a:effectLst/>
              <a:latin typeface="+mn-lt"/>
              <a:ea typeface="+mn-ea"/>
              <a:cs typeface="+mn-cs"/>
            </a:rPr>
            <a:t>LANCE Multi-Year Trend for Web Accesses-GA</a:t>
          </a:r>
          <a:endParaRPr lang="en-US" sz="1600">
            <a:effectLst/>
          </a:endParaRPr>
        </a:p>
        <a:p xmlns:a="http://schemas.openxmlformats.org/drawingml/2006/main">
          <a:endParaRPr lang="en-US" sz="1600"/>
        </a:p>
      </cdr:txBody>
    </cdr:sp>
  </cdr:relSizeAnchor>
</c:userShapes>
</file>

<file path=xl/drawings/drawing5.xml><?xml version="1.0" encoding="utf-8"?>
<c:userShapes xmlns:c="http://schemas.openxmlformats.org/drawingml/2006/chart">
  <cdr:relSizeAnchor xmlns:cdr="http://schemas.openxmlformats.org/drawingml/2006/chartDrawing">
    <cdr:from>
      <cdr:x>0.12437</cdr:x>
      <cdr:y>0.01686</cdr:y>
    </cdr:from>
    <cdr:to>
      <cdr:x>0.95101</cdr:x>
      <cdr:y>0.11532</cdr:y>
    </cdr:to>
    <cdr:sp macro="" textlink="">
      <cdr:nvSpPr>
        <cdr:cNvPr id="2" name="TextBox 1"/>
        <cdr:cNvSpPr txBox="1"/>
      </cdr:nvSpPr>
      <cdr:spPr>
        <a:xfrm xmlns:a="http://schemas.openxmlformats.org/drawingml/2006/main">
          <a:off x="776617" y="50662"/>
          <a:ext cx="5161678" cy="295938"/>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marR="0" indent="0" defTabSz="914400" rtl="0" eaLnBrk="1" fontAlgn="auto" latinLnBrk="0" hangingPunct="1">
            <a:lnSpc>
              <a:spcPct val="100000"/>
            </a:lnSpc>
            <a:spcBef>
              <a:spcPts val="0"/>
            </a:spcBef>
            <a:spcAft>
              <a:spcPts val="0"/>
            </a:spcAft>
            <a:buClrTx/>
            <a:buSzTx/>
            <a:buFontTx/>
            <a:buNone/>
            <a:tabLst/>
            <a:defRPr/>
          </a:pPr>
          <a:r>
            <a:rPr lang="en-US" sz="1600" b="1" i="0" baseline="0">
              <a:solidFill>
                <a:schemeClr val="tx1"/>
              </a:solidFill>
              <a:effectLst/>
              <a:latin typeface="+mn-lt"/>
              <a:ea typeface="+mn-ea"/>
              <a:cs typeface="+mn-cs"/>
            </a:rPr>
            <a:t>ASF Yearly Percentage of Web Users  Downloading Data</a:t>
          </a:r>
          <a:endParaRPr lang="en-US" sz="1600">
            <a:solidFill>
              <a:schemeClr val="tx1"/>
            </a:solidFill>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0.23853</cdr:x>
      <cdr:y>0.01378</cdr:y>
    </cdr:from>
    <cdr:to>
      <cdr:x>0.9039</cdr:x>
      <cdr:y>0.11168</cdr:y>
    </cdr:to>
    <cdr:sp macro="" textlink="">
      <cdr:nvSpPr>
        <cdr:cNvPr id="3" name="TextBox 2"/>
        <cdr:cNvSpPr txBox="1"/>
      </cdr:nvSpPr>
      <cdr:spPr>
        <a:xfrm xmlns:a="http://schemas.openxmlformats.org/drawingml/2006/main">
          <a:off x="1451568" y="39365"/>
          <a:ext cx="4049052" cy="279749"/>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pPr marL="0" marR="0" indent="0" defTabSz="914400" rtl="0" eaLnBrk="1" fontAlgn="auto" latinLnBrk="0" hangingPunct="1">
            <a:lnSpc>
              <a:spcPct val="100000"/>
            </a:lnSpc>
            <a:spcBef>
              <a:spcPts val="0"/>
            </a:spcBef>
            <a:spcAft>
              <a:spcPts val="0"/>
            </a:spcAft>
            <a:buClrTx/>
            <a:buSzTx/>
            <a:buFontTx/>
            <a:buNone/>
            <a:tabLst/>
            <a:defRPr/>
          </a:pPr>
          <a:r>
            <a:rPr lang="en-US" sz="1600" b="1" i="0" baseline="0">
              <a:effectLst/>
              <a:latin typeface="+mn-lt"/>
              <a:ea typeface="+mn-ea"/>
              <a:cs typeface="+mn-cs"/>
            </a:rPr>
            <a:t>ASF Multi-Year Trend for Web Accesses-GA</a:t>
          </a:r>
          <a:endParaRPr lang="en-US" sz="1600">
            <a:effectLst/>
          </a:endParaRPr>
        </a:p>
        <a:p xmlns:a="http://schemas.openxmlformats.org/drawingml/2006/main">
          <a:endParaRPr lang="en-US" sz="1600"/>
        </a:p>
      </cdr:txBody>
    </cdr:sp>
  </cdr:relSizeAnchor>
</c:userShapes>
</file>

<file path=xl/drawings/drawing7.xml><?xml version="1.0" encoding="utf-8"?>
<xdr:wsDr xmlns:xdr="http://schemas.openxmlformats.org/drawingml/2006/spreadsheetDrawing" xmlns:a="http://schemas.openxmlformats.org/drawingml/2006/main">
  <xdr:twoCellAnchor>
    <xdr:from>
      <xdr:col>1</xdr:col>
      <xdr:colOff>10582</xdr:colOff>
      <xdr:row>13</xdr:row>
      <xdr:rowOff>191027</xdr:rowOff>
    </xdr:from>
    <xdr:to>
      <xdr:col>3</xdr:col>
      <xdr:colOff>1386416</xdr:colOff>
      <xdr:row>23</xdr:row>
      <xdr:rowOff>52917</xdr:rowOff>
    </xdr:to>
    <xdr:graphicFrame macro="">
      <xdr:nvGraphicFramePr>
        <xdr:cNvPr id="2" name="Chart 1">
          <a:extLst>
            <a:ext uri="{FF2B5EF4-FFF2-40B4-BE49-F238E27FC236}">
              <a16:creationId xmlns:a16="http://schemas.microsoft.com/office/drawing/2014/main" id="{00000000-0008-0000-0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11545</xdr:colOff>
      <xdr:row>24</xdr:row>
      <xdr:rowOff>17638</xdr:rowOff>
    </xdr:from>
    <xdr:to>
      <xdr:col>10</xdr:col>
      <xdr:colOff>2228274</xdr:colOff>
      <xdr:row>33</xdr:row>
      <xdr:rowOff>115456</xdr:rowOff>
    </xdr:to>
    <xdr:graphicFrame macro="">
      <xdr:nvGraphicFramePr>
        <xdr:cNvPr id="3" name="Chart 2">
          <a:extLst>
            <a:ext uri="{FF2B5EF4-FFF2-40B4-BE49-F238E27FC236}">
              <a16:creationId xmlns:a16="http://schemas.microsoft.com/office/drawing/2014/main" id="{00000000-0008-0000-04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24694</xdr:colOff>
      <xdr:row>13</xdr:row>
      <xdr:rowOff>204609</xdr:rowOff>
    </xdr:from>
    <xdr:to>
      <xdr:col>11</xdr:col>
      <xdr:colOff>35278</xdr:colOff>
      <xdr:row>22</xdr:row>
      <xdr:rowOff>194026</xdr:rowOff>
    </xdr:to>
    <xdr:graphicFrame macro="">
      <xdr:nvGraphicFramePr>
        <xdr:cNvPr id="5" name="Chart 4">
          <a:extLst>
            <a:ext uri="{FF2B5EF4-FFF2-40B4-BE49-F238E27FC236}">
              <a16:creationId xmlns:a16="http://schemas.microsoft.com/office/drawing/2014/main" id="{00000000-0008-0000-04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21167</xdr:colOff>
      <xdr:row>23</xdr:row>
      <xdr:rowOff>310447</xdr:rowOff>
    </xdr:from>
    <xdr:to>
      <xdr:col>3</xdr:col>
      <xdr:colOff>1382888</xdr:colOff>
      <xdr:row>33</xdr:row>
      <xdr:rowOff>127001</xdr:rowOff>
    </xdr:to>
    <xdr:graphicFrame macro="">
      <xdr:nvGraphicFramePr>
        <xdr:cNvPr id="6" name="Chart 5">
          <a:extLst>
            <a:ext uri="{FF2B5EF4-FFF2-40B4-BE49-F238E27FC236}">
              <a16:creationId xmlns:a16="http://schemas.microsoft.com/office/drawing/2014/main" id="{00000000-0008-0000-04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xdr:col>
      <xdr:colOff>889001</xdr:colOff>
      <xdr:row>29</xdr:row>
      <xdr:rowOff>56444</xdr:rowOff>
    </xdr:from>
    <xdr:to>
      <xdr:col>10</xdr:col>
      <xdr:colOff>1961443</xdr:colOff>
      <xdr:row>31</xdr:row>
      <xdr:rowOff>0</xdr:rowOff>
    </xdr:to>
    <xdr:sp macro="" textlink="">
      <xdr:nvSpPr>
        <xdr:cNvPr id="8" name="TextBox 1">
          <a:extLst>
            <a:ext uri="{FF2B5EF4-FFF2-40B4-BE49-F238E27FC236}">
              <a16:creationId xmlns:a16="http://schemas.microsoft.com/office/drawing/2014/main" id="{00000000-0008-0000-0400-000008000000}"/>
            </a:ext>
          </a:extLst>
        </xdr:cNvPr>
        <xdr:cNvSpPr txBox="1"/>
      </xdr:nvSpPr>
      <xdr:spPr>
        <a:xfrm>
          <a:off x="12248445" y="8537222"/>
          <a:ext cx="2215442" cy="592667"/>
        </a:xfrm>
        <a:prstGeom prst="rect">
          <a:avLst/>
        </a:prstGeom>
      </xdr:spPr>
      <xdr:txBody>
        <a:bodyPr wrap="square" rtlCol="0">
          <a:sp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en-US" sz="1100" b="1">
              <a:latin typeface="Arial" panose="020B0604020202020204" pitchFamily="34" charset="0"/>
              <a:cs typeface="Arial" panose="020B0604020202020204" pitchFamily="34" charset="0"/>
            </a:rPr>
            <a:t>FY20 data is not available due to unavailability of IPadress in Google</a:t>
          </a:r>
          <a:r>
            <a:rPr lang="en-US" sz="1100" b="1" baseline="0">
              <a:latin typeface="Arial" panose="020B0604020202020204" pitchFamily="34" charset="0"/>
              <a:cs typeface="Arial" panose="020B0604020202020204" pitchFamily="34" charset="0"/>
            </a:rPr>
            <a:t> Analytics</a:t>
          </a:r>
          <a:r>
            <a:rPr lang="en-US" sz="1100" b="1">
              <a:latin typeface="Arial" panose="020B0604020202020204" pitchFamily="34" charset="0"/>
              <a:cs typeface="Arial" panose="020B0604020202020204" pitchFamily="34" charset="0"/>
            </a:rPr>
            <a:t>.</a:t>
          </a:r>
        </a:p>
      </xdr:txBody>
    </xdr:sp>
    <xdr:clientData/>
  </xdr:twoCellAnchor>
</xdr:wsDr>
</file>

<file path=xl/drawings/drawing8.xml><?xml version="1.0" encoding="utf-8"?>
<c:userShapes xmlns:c="http://schemas.openxmlformats.org/drawingml/2006/chart">
  <cdr:relSizeAnchor xmlns:cdr="http://schemas.openxmlformats.org/drawingml/2006/chartDrawing">
    <cdr:from>
      <cdr:x>0.12437</cdr:x>
      <cdr:y>0.01686</cdr:y>
    </cdr:from>
    <cdr:to>
      <cdr:x>0.95101</cdr:x>
      <cdr:y>0.11532</cdr:y>
    </cdr:to>
    <cdr:sp macro="" textlink="">
      <cdr:nvSpPr>
        <cdr:cNvPr id="2" name="TextBox 1"/>
        <cdr:cNvSpPr txBox="1"/>
      </cdr:nvSpPr>
      <cdr:spPr>
        <a:xfrm xmlns:a="http://schemas.openxmlformats.org/drawingml/2006/main">
          <a:off x="776617" y="50662"/>
          <a:ext cx="5161678" cy="295938"/>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marR="0" indent="0" defTabSz="914400" rtl="0" eaLnBrk="1" fontAlgn="auto" latinLnBrk="0" hangingPunct="1">
            <a:lnSpc>
              <a:spcPct val="100000"/>
            </a:lnSpc>
            <a:spcBef>
              <a:spcPts val="0"/>
            </a:spcBef>
            <a:spcAft>
              <a:spcPts val="0"/>
            </a:spcAft>
            <a:buClrTx/>
            <a:buSzTx/>
            <a:buFontTx/>
            <a:buNone/>
            <a:tabLst/>
            <a:defRPr/>
          </a:pPr>
          <a:r>
            <a:rPr lang="en-US" sz="1600" b="1" i="0" baseline="0">
              <a:solidFill>
                <a:schemeClr val="tx1"/>
              </a:solidFill>
              <a:effectLst/>
              <a:latin typeface="+mn-lt"/>
              <a:ea typeface="+mn-ea"/>
              <a:cs typeface="+mn-cs"/>
            </a:rPr>
            <a:t>CDDIS Yearly Percentage of Web Users  Downloading Data</a:t>
          </a:r>
          <a:endParaRPr lang="en-US" sz="1600">
            <a:solidFill>
              <a:schemeClr val="tx1"/>
            </a:solidFill>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0.21876</cdr:x>
      <cdr:y>0.01731</cdr:y>
    </cdr:from>
    <cdr:to>
      <cdr:x>0.88413</cdr:x>
      <cdr:y>0.11521</cdr:y>
    </cdr:to>
    <cdr:sp macro="" textlink="">
      <cdr:nvSpPr>
        <cdr:cNvPr id="3" name="TextBox 2"/>
        <cdr:cNvSpPr txBox="1"/>
      </cdr:nvSpPr>
      <cdr:spPr>
        <a:xfrm xmlns:a="http://schemas.openxmlformats.org/drawingml/2006/main">
          <a:off x="1288015" y="51904"/>
          <a:ext cx="3917606" cy="293564"/>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pPr marL="0" marR="0" indent="0" defTabSz="914400" rtl="0" eaLnBrk="1" fontAlgn="auto" latinLnBrk="0" hangingPunct="1">
            <a:lnSpc>
              <a:spcPct val="100000"/>
            </a:lnSpc>
            <a:spcBef>
              <a:spcPts val="0"/>
            </a:spcBef>
            <a:spcAft>
              <a:spcPts val="0"/>
            </a:spcAft>
            <a:buClrTx/>
            <a:buSzTx/>
            <a:buFontTx/>
            <a:buNone/>
            <a:tabLst/>
            <a:defRPr/>
          </a:pPr>
          <a:r>
            <a:rPr lang="en-US" sz="1600" b="1" i="0" baseline="0">
              <a:effectLst/>
              <a:latin typeface="+mn-lt"/>
              <a:ea typeface="+mn-ea"/>
              <a:cs typeface="+mn-cs"/>
            </a:rPr>
            <a:t>CDDIS Multi-Year Trend for Web Accesses-GA</a:t>
          </a:r>
          <a:endParaRPr lang="en-US" sz="1600">
            <a:effectLst/>
          </a:endParaRPr>
        </a:p>
        <a:p xmlns:a="http://schemas.openxmlformats.org/drawingml/2006/main">
          <a:endParaRPr lang="en-US" sz="1600"/>
        </a:p>
      </cdr:txBody>
    </cdr:sp>
  </cdr:relSizeAnchor>
</c:userShape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sheetPr>
  <dimension ref="A1:C7"/>
  <sheetViews>
    <sheetView zoomScale="110" zoomScaleNormal="110" workbookViewId="0">
      <selection activeCell="G6" sqref="G6"/>
    </sheetView>
  </sheetViews>
  <sheetFormatPr baseColWidth="10" defaultColWidth="11.5" defaultRowHeight="13" x14ac:dyDescent="0.15"/>
  <cols>
    <col min="1" max="1" width="122.6640625" customWidth="1"/>
    <col min="2" max="2" width="8.1640625" customWidth="1"/>
    <col min="3" max="3" width="0.1640625" hidden="1" customWidth="1"/>
  </cols>
  <sheetData>
    <row r="1" spans="1:1" ht="272" x14ac:dyDescent="0.15">
      <c r="A1" s="50" t="s">
        <v>193</v>
      </c>
    </row>
    <row r="2" spans="1:1" x14ac:dyDescent="0.15">
      <c r="A2" s="48"/>
    </row>
    <row r="3" spans="1:1" ht="168.75" customHeight="1" x14ac:dyDescent="0.15">
      <c r="A3" s="52" t="s">
        <v>236</v>
      </c>
    </row>
    <row r="4" spans="1:1" ht="27" customHeight="1" x14ac:dyDescent="0.15">
      <c r="A4" s="51" t="s">
        <v>237</v>
      </c>
    </row>
    <row r="7" spans="1:1" x14ac:dyDescent="0.15">
      <c r="A7" s="49"/>
    </row>
  </sheetData>
  <pageMargins left="0.75" right="0.75" top="1" bottom="1" header="0.5" footer="0.5"/>
  <pageSetup scale="75"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0"/>
  </sheetPr>
  <dimension ref="A1:K37"/>
  <sheetViews>
    <sheetView zoomScale="94" zoomScaleNormal="94" zoomScalePageLayoutView="90" workbookViewId="0">
      <selection activeCell="D11" sqref="D11"/>
    </sheetView>
  </sheetViews>
  <sheetFormatPr baseColWidth="10" defaultColWidth="11.5" defaultRowHeight="13" x14ac:dyDescent="0.15"/>
  <cols>
    <col min="1" max="1" width="7.1640625" customWidth="1"/>
    <col min="2" max="2" width="63.83203125" customWidth="1"/>
    <col min="3" max="3" width="20.6640625" customWidth="1"/>
    <col min="4" max="4" width="19.83203125" customWidth="1"/>
    <col min="5" max="5" width="3.5" customWidth="1"/>
    <col min="6" max="6" width="15.1640625" customWidth="1"/>
    <col min="7" max="7" width="13" customWidth="1"/>
    <col min="8" max="8" width="1.6640625" customWidth="1"/>
    <col min="9" max="9" width="14.5" customWidth="1"/>
    <col min="10" max="10" width="15" customWidth="1"/>
    <col min="11" max="11" width="29.5" customWidth="1"/>
    <col min="12" max="12" width="19.83203125" customWidth="1"/>
    <col min="13" max="13" width="22.1640625" customWidth="1"/>
  </cols>
  <sheetData>
    <row r="1" spans="1:11" ht="52" customHeight="1" thickBot="1" x14ac:dyDescent="0.2">
      <c r="A1" s="7"/>
      <c r="B1" s="329" t="str">
        <f>CONCATENATE("NSIDC Summary for ", Summary_data!X1)</f>
        <v>NSIDC Summary for FY 2025</v>
      </c>
      <c r="C1" s="329"/>
      <c r="D1" s="329"/>
      <c r="E1" s="329"/>
      <c r="F1" s="329"/>
      <c r="G1" s="329"/>
      <c r="H1" s="329"/>
      <c r="I1" s="329"/>
      <c r="J1" s="329"/>
      <c r="K1" s="329"/>
    </row>
    <row r="2" spans="1:11" ht="25" customHeight="1" thickBot="1" x14ac:dyDescent="0.2">
      <c r="B2" s="335" t="str">
        <f>Summary_data!Z2</f>
        <v>FY2025 Metrics (Oct 2024 to Sep 2025)</v>
      </c>
      <c r="C2" s="336"/>
      <c r="D2" s="337"/>
      <c r="F2" s="340" t="str">
        <f>CONCATENATE(data!$J$2, " Distribution and User Trends ", Summary_data!W1)</f>
        <v>NSIDC Distribution and User Trends (Oct 2024 to Sep 2025)</v>
      </c>
      <c r="G2" s="341"/>
      <c r="H2" s="341"/>
      <c r="I2" s="342"/>
      <c r="J2" s="342"/>
      <c r="K2" s="343"/>
    </row>
    <row r="3" spans="1:11" ht="18" customHeight="1" thickBot="1" x14ac:dyDescent="0.2">
      <c r="B3" s="37" t="s">
        <v>64</v>
      </c>
      <c r="C3" s="37" t="s">
        <v>63</v>
      </c>
      <c r="D3" s="37" t="str">
        <f>Summary_data!$C$12</f>
        <v>NSIDC</v>
      </c>
      <c r="F3" s="344" t="s">
        <v>64</v>
      </c>
      <c r="G3" s="38" t="s">
        <v>11</v>
      </c>
      <c r="H3" s="39"/>
      <c r="I3" s="40" t="s">
        <v>25</v>
      </c>
      <c r="J3" s="40" t="s">
        <v>32</v>
      </c>
      <c r="K3" s="41" t="s">
        <v>26</v>
      </c>
    </row>
    <row r="4" spans="1:11" ht="18" customHeight="1" thickBot="1" x14ac:dyDescent="0.2">
      <c r="B4" s="224" t="s">
        <v>137</v>
      </c>
      <c r="C4" s="53">
        <f>Summary_data!AA13</f>
        <v>18755</v>
      </c>
      <c r="D4" s="55">
        <f>Summary_data!$D$12</f>
        <v>1855</v>
      </c>
      <c r="F4" s="345"/>
      <c r="G4" s="42" t="str">
        <f>Summary_data!AE2</f>
        <v>FY2025</v>
      </c>
      <c r="H4" s="43"/>
      <c r="I4" s="44" t="str">
        <f>Summary_data!AF2</f>
        <v>FY2024</v>
      </c>
      <c r="J4" s="43" t="s">
        <v>27</v>
      </c>
      <c r="K4" s="45" t="s">
        <v>28</v>
      </c>
    </row>
    <row r="5" spans="1:11" ht="23" customHeight="1" thickBot="1" x14ac:dyDescent="0.2">
      <c r="B5" s="226" t="s">
        <v>150</v>
      </c>
      <c r="C5" s="53" t="str">
        <f>Summary_data!AA14</f>
        <v>10 M</v>
      </c>
      <c r="D5" s="56">
        <f>Summary_data!I$12</f>
        <v>1921367</v>
      </c>
      <c r="F5" s="348" t="s">
        <v>68</v>
      </c>
      <c r="G5" s="358">
        <f>data!$J$15</f>
        <v>308.29813300000001</v>
      </c>
      <c r="H5" s="338"/>
      <c r="I5" s="332">
        <f>(data!$J$15-data!$J$17)/data!$J$17</f>
        <v>0.9756799755867791</v>
      </c>
      <c r="J5" s="339">
        <f>data!$J$16</f>
        <v>25.691511083333335</v>
      </c>
      <c r="K5" s="333"/>
    </row>
    <row r="6" spans="1:11" ht="18" customHeight="1" thickBot="1" x14ac:dyDescent="0.2">
      <c r="B6" s="226" t="s">
        <v>151</v>
      </c>
      <c r="C6" s="53" t="str">
        <f>Summary_data!AA15</f>
        <v>14.9  M</v>
      </c>
      <c r="D6" s="56">
        <f>Summary_data!K$12</f>
        <v>3328521</v>
      </c>
      <c r="F6" s="330"/>
      <c r="G6" s="359"/>
      <c r="H6" s="323"/>
      <c r="I6" s="325"/>
      <c r="J6" s="334"/>
      <c r="K6" s="317"/>
    </row>
    <row r="7" spans="1:11" ht="18" customHeight="1" thickBot="1" x14ac:dyDescent="0.2">
      <c r="B7" s="226" t="s">
        <v>0</v>
      </c>
      <c r="C7" s="58" t="str">
        <f>Summary_data!AA16</f>
        <v>160 TB/day</v>
      </c>
      <c r="D7" s="54" t="str">
        <f>CONCATENATE(FIXED(1024*Summary_data!$N$12,1), " GB/day")</f>
        <v>11,513.5 GB/day</v>
      </c>
      <c r="F7" s="319" t="s">
        <v>62</v>
      </c>
      <c r="G7" s="360">
        <f>data!$J$67</f>
        <v>19040.517111921763</v>
      </c>
      <c r="H7" s="323"/>
      <c r="I7" s="332">
        <f>(data!$J$67-data!$J$69)/data!$J$69</f>
        <v>0.51662028476438904</v>
      </c>
      <c r="J7" s="334">
        <f>data!$J$68</f>
        <v>1586.7097593268136</v>
      </c>
      <c r="K7" s="317"/>
    </row>
    <row r="8" spans="1:11" ht="18" customHeight="1" thickBot="1" x14ac:dyDescent="0.2">
      <c r="B8" s="226" t="s">
        <v>152</v>
      </c>
      <c r="C8" s="58" t="str">
        <f>Summary_data!AA17</f>
        <v>178.7 PB</v>
      </c>
      <c r="D8" s="57" t="str">
        <f>CONCATENATE(FIXED(Summary_data!$O$12,1), " TB")</f>
        <v>8,941.2 TB</v>
      </c>
      <c r="F8" s="330"/>
      <c r="G8" s="361"/>
      <c r="H8" s="323"/>
      <c r="I8" s="325"/>
      <c r="J8" s="334"/>
      <c r="K8" s="317"/>
    </row>
    <row r="9" spans="1:11" ht="18" customHeight="1" thickBot="1" x14ac:dyDescent="0.2">
      <c r="B9" s="226" t="s">
        <v>153</v>
      </c>
      <c r="C9" s="53" t="str">
        <f>Summary_data!AA18</f>
        <v>116.2 PB</v>
      </c>
      <c r="D9" s="57" t="str">
        <f>CONCATENATE(FIXED(Summary_data!$U$12,1), " TB")</f>
        <v>4,529.3 TB</v>
      </c>
      <c r="F9" s="319" t="s">
        <v>58</v>
      </c>
      <c r="G9" s="321">
        <f>data!$J$120</f>
        <v>42868</v>
      </c>
      <c r="H9" s="323"/>
      <c r="I9" s="332">
        <f>(data!$J$120-data!$J$121)/data!$J$121</f>
        <v>0.28817837610433317</v>
      </c>
      <c r="J9" s="327">
        <f>data!$J$119</f>
        <v>5100.416666666667</v>
      </c>
      <c r="K9" s="317"/>
    </row>
    <row r="10" spans="1:11" ht="18" customHeight="1" thickBot="1" x14ac:dyDescent="0.2">
      <c r="B10" s="226" t="s">
        <v>154</v>
      </c>
      <c r="C10" s="53" t="str">
        <f>Summary_data!AA19</f>
        <v>7,799.9 M</v>
      </c>
      <c r="D10" s="56" t="str">
        <f>CONCATENATE(FIXED(Summary_data!$R$12,1), " M")</f>
        <v>308.3 M</v>
      </c>
      <c r="F10" s="330"/>
      <c r="G10" s="357"/>
      <c r="H10" s="323"/>
      <c r="I10" s="325"/>
      <c r="J10" s="327"/>
      <c r="K10" s="317"/>
    </row>
    <row r="11" spans="1:11" ht="22" customHeight="1" thickBot="1" x14ac:dyDescent="0.2">
      <c r="B11" s="226" t="s">
        <v>155</v>
      </c>
      <c r="C11" s="53" t="str">
        <f>Summary_data!AA20</f>
        <v>4,316.1 M</v>
      </c>
      <c r="D11" s="56" t="str">
        <f>CONCATENATE(FIXED(Summary_data!$V$12,3), " M")</f>
        <v>142,383,316.000 M</v>
      </c>
      <c r="E11" s="5"/>
      <c r="F11" s="319" t="s">
        <v>125</v>
      </c>
      <c r="G11" s="321">
        <f>data!$J$227</f>
        <v>2003001</v>
      </c>
      <c r="H11" s="323"/>
      <c r="I11" s="325">
        <f>(data!$J$227-data!$J$228)/data!$J$228</f>
        <v>0.95526897381131815</v>
      </c>
      <c r="J11" s="327">
        <f>data!$J$226</f>
        <v>166916.75</v>
      </c>
      <c r="K11" s="317"/>
    </row>
    <row r="12" spans="1:11" ht="18" customHeight="1" thickBot="1" x14ac:dyDescent="0.2">
      <c r="B12" s="226" t="s">
        <v>156</v>
      </c>
      <c r="C12" s="53" t="str">
        <f>Summary_data!AA21</f>
        <v>600 TB/day</v>
      </c>
      <c r="D12" s="56" t="str">
        <f>CONCATENATE(FIXED(1024*Summary_data!$T$12,1), " GB/day")</f>
        <v>53,417.8 GB/day</v>
      </c>
      <c r="F12" s="320"/>
      <c r="G12" s="356"/>
      <c r="H12" s="324"/>
      <c r="I12" s="326"/>
      <c r="J12" s="328"/>
      <c r="K12" s="318"/>
    </row>
    <row r="13" spans="1:11" ht="18" customHeight="1" x14ac:dyDescent="0.15"/>
    <row r="14" spans="1:11" ht="18" customHeight="1" x14ac:dyDescent="0.15"/>
    <row r="15" spans="1:11" ht="18" customHeight="1" x14ac:dyDescent="0.15"/>
    <row r="16" spans="1:11" ht="25" customHeight="1" x14ac:dyDescent="0.15"/>
    <row r="17" ht="25" customHeight="1" x14ac:dyDescent="0.15"/>
    <row r="18" ht="25" customHeight="1" x14ac:dyDescent="0.15"/>
    <row r="19" ht="25" customHeight="1" x14ac:dyDescent="0.15"/>
    <row r="20" ht="25" customHeight="1" x14ac:dyDescent="0.15"/>
    <row r="21" ht="25" customHeight="1" x14ac:dyDescent="0.15"/>
    <row r="22" ht="25" customHeight="1" x14ac:dyDescent="0.15"/>
    <row r="23" ht="25" customHeight="1" x14ac:dyDescent="0.15"/>
    <row r="24" ht="25" customHeight="1" x14ac:dyDescent="0.15"/>
    <row r="25" ht="25" customHeight="1" x14ac:dyDescent="0.15"/>
    <row r="26" ht="25" customHeight="1" x14ac:dyDescent="0.15"/>
    <row r="27" ht="25" customHeight="1" x14ac:dyDescent="0.15"/>
    <row r="28" ht="25" customHeight="1" x14ac:dyDescent="0.15"/>
    <row r="29" ht="25" customHeight="1" x14ac:dyDescent="0.15"/>
    <row r="30" ht="25" customHeight="1" x14ac:dyDescent="0.15"/>
    <row r="31" ht="25" customHeight="1" x14ac:dyDescent="0.15"/>
    <row r="32" ht="25" customHeight="1" x14ac:dyDescent="0.15"/>
    <row r="33" ht="25" customHeight="1" x14ac:dyDescent="0.15"/>
    <row r="34" ht="25" customHeight="1" x14ac:dyDescent="0.15"/>
    <row r="35" ht="30" customHeight="1" x14ac:dyDescent="0.15"/>
    <row r="36" ht="30" customHeight="1" x14ac:dyDescent="0.15"/>
    <row r="37" ht="30" customHeight="1" x14ac:dyDescent="0.15"/>
  </sheetData>
  <dataConsolidate/>
  <mergeCells count="28">
    <mergeCell ref="K5:K6"/>
    <mergeCell ref="F7:F8"/>
    <mergeCell ref="G7:G8"/>
    <mergeCell ref="H7:H8"/>
    <mergeCell ref="I7:I8"/>
    <mergeCell ref="J7:J8"/>
    <mergeCell ref="B1:K1"/>
    <mergeCell ref="F9:F10"/>
    <mergeCell ref="G9:G10"/>
    <mergeCell ref="H9:H10"/>
    <mergeCell ref="I9:I10"/>
    <mergeCell ref="J9:J10"/>
    <mergeCell ref="K9:K10"/>
    <mergeCell ref="K7:K8"/>
    <mergeCell ref="B2:D2"/>
    <mergeCell ref="F2:K2"/>
    <mergeCell ref="F3:F4"/>
    <mergeCell ref="F5:F6"/>
    <mergeCell ref="G5:G6"/>
    <mergeCell ref="H5:H6"/>
    <mergeCell ref="I5:I6"/>
    <mergeCell ref="J5:J6"/>
    <mergeCell ref="K11:K12"/>
    <mergeCell ref="F11:F12"/>
    <mergeCell ref="G11:G12"/>
    <mergeCell ref="H11:H12"/>
    <mergeCell ref="I11:I12"/>
    <mergeCell ref="J11:J12"/>
  </mergeCells>
  <conditionalFormatting sqref="I5 I7 I9">
    <cfRule type="iconSet" priority="248">
      <iconSet iconSet="3Arrows">
        <cfvo type="percent" val="0"/>
        <cfvo type="num" val="0"/>
        <cfvo type="num" val="0.01"/>
      </iconSet>
    </cfRule>
    <cfRule type="iconSet" priority="249">
      <iconSet showValue="0">
        <cfvo type="percent" val="0"/>
        <cfvo type="num" val="0.9"/>
        <cfvo type="num" val="0.95"/>
      </iconSet>
    </cfRule>
    <cfRule type="iconSet" priority="254">
      <iconSet iconSet="5Arrows">
        <cfvo type="percent" val="0"/>
        <cfvo type="percent" val="20"/>
        <cfvo type="percent" val="40"/>
        <cfvo type="percent" val="60"/>
        <cfvo type="percent" val="80"/>
      </iconSet>
    </cfRule>
    <cfRule type="iconSet" priority="255">
      <iconSet>
        <cfvo type="percent" val="0"/>
        <cfvo type="percent" val="33"/>
        <cfvo type="percent" val="67"/>
      </iconSet>
    </cfRule>
    <cfRule type="iconSet" priority="256">
      <iconSet iconSet="4Arrows">
        <cfvo type="percent" val="0"/>
        <cfvo type="percent" val="25"/>
        <cfvo type="percent" val="50"/>
        <cfvo type="percentile" val="75"/>
      </iconSet>
    </cfRule>
    <cfRule type="iconSet" priority="257">
      <iconSet iconSet="5Arrows">
        <cfvo type="percent" val="0"/>
        <cfvo type="percent" val="20"/>
        <cfvo type="percent" val="40"/>
        <cfvo type="percent" val="60"/>
        <cfvo type="percent" val="80"/>
      </iconSet>
    </cfRule>
    <cfRule type="iconSet" priority="258">
      <iconSet iconSet="3Arrows">
        <cfvo type="percent" val="0"/>
        <cfvo type="percent" val="33"/>
        <cfvo type="percent" val="67"/>
      </iconSet>
    </cfRule>
    <cfRule type="iconSet" priority="269">
      <iconSet iconSet="5Arrows">
        <cfvo type="percent" val="0"/>
        <cfvo type="num" val="-0.2"/>
        <cfvo type="num" val="-0.05"/>
        <cfvo type="num" val="0.05"/>
        <cfvo type="num" val="0.2"/>
      </iconSet>
    </cfRule>
  </conditionalFormatting>
  <conditionalFormatting sqref="I11">
    <cfRule type="iconSet" priority="1">
      <iconSet iconSet="3Arrows">
        <cfvo type="percent" val="0"/>
        <cfvo type="num" val="0"/>
        <cfvo type="num" val="0.01"/>
      </iconSet>
    </cfRule>
    <cfRule type="iconSet" priority="2">
      <iconSet iconSet="5Arrows">
        <cfvo type="percent" val="0"/>
        <cfvo type="num" val="-0.2"/>
        <cfvo type="num" val="-0.05"/>
        <cfvo type="num" val="0.05"/>
        <cfvo type="num" val="0.2"/>
      </iconSet>
    </cfRule>
    <cfRule type="iconSet" priority="3">
      <iconSet iconSet="5Arrows">
        <cfvo type="percent" val="0"/>
        <cfvo type="percent" val="20"/>
        <cfvo type="percent" val="40"/>
        <cfvo type="percent" val="60"/>
        <cfvo type="percent" val="80"/>
      </iconSet>
    </cfRule>
    <cfRule type="iconSet" priority="4">
      <iconSet showValue="0">
        <cfvo type="percent" val="0"/>
        <cfvo type="num" val="0.9"/>
        <cfvo type="num" val="0.95"/>
      </iconSet>
    </cfRule>
    <cfRule type="iconSet" priority="5">
      <iconSet>
        <cfvo type="percent" val="0"/>
        <cfvo type="percent" val="33"/>
        <cfvo type="percent" val="67"/>
      </iconSet>
    </cfRule>
    <cfRule type="iconSet" priority="6">
      <iconSet iconSet="4Arrows">
        <cfvo type="percent" val="0"/>
        <cfvo type="percent" val="25"/>
        <cfvo type="percent" val="50"/>
        <cfvo type="percentile" val="75"/>
      </iconSet>
    </cfRule>
    <cfRule type="iconSet" priority="7">
      <iconSet iconSet="5Arrows">
        <cfvo type="percent" val="0"/>
        <cfvo type="percent" val="20"/>
        <cfvo type="percent" val="40"/>
        <cfvo type="percent" val="60"/>
        <cfvo type="percent" val="80"/>
      </iconSet>
    </cfRule>
    <cfRule type="iconSet" priority="8">
      <iconSet iconSet="3Arrows">
        <cfvo type="percent" val="0"/>
        <cfvo type="percent" val="33"/>
        <cfvo type="percent" val="67"/>
      </iconSet>
    </cfRule>
  </conditionalFormatting>
  <conditionalFormatting sqref="K5 K7">
    <cfRule type="dataBar" priority="44">
      <dataBar>
        <cfvo type="min"/>
        <cfvo type="max"/>
        <color rgb="FF638EC6"/>
      </dataBar>
      <extLst>
        <ext xmlns:x14="http://schemas.microsoft.com/office/spreadsheetml/2009/9/main" uri="{B025F937-C7B1-47D3-B67F-A62EFF666E3E}">
          <x14:id>{850A6733-3AB0-4346-9ABC-67A6745231DA}</x14:id>
        </ext>
      </extLst>
    </cfRule>
  </conditionalFormatting>
  <conditionalFormatting sqref="K9">
    <cfRule type="dataBar" priority="43">
      <dataBar>
        <cfvo type="min"/>
        <cfvo type="max"/>
        <color rgb="FF638EC6"/>
      </dataBar>
      <extLst>
        <ext xmlns:x14="http://schemas.microsoft.com/office/spreadsheetml/2009/9/main" uri="{B025F937-C7B1-47D3-B67F-A62EFF666E3E}">
          <x14:id>{4BFDCF8C-F2A6-4140-881B-4C3DED9BBEF1}</x14:id>
        </ext>
      </extLst>
    </cfRule>
  </conditionalFormatting>
  <conditionalFormatting sqref="K11">
    <cfRule type="dataBar" priority="9">
      <dataBar>
        <cfvo type="min"/>
        <cfvo type="max"/>
        <color rgb="FF638EC6"/>
      </dataBar>
      <extLst>
        <ext xmlns:x14="http://schemas.microsoft.com/office/spreadsheetml/2009/9/main" uri="{B025F937-C7B1-47D3-B67F-A62EFF666E3E}">
          <x14:id>{47A1CA8B-B5CF-E542-8745-9E68A5F14D75}</x14:id>
        </ext>
      </extLst>
    </cfRule>
  </conditionalFormatting>
  <pageMargins left="0.75" right="0.75" top="1" bottom="1" header="0.5" footer="0.5"/>
  <pageSetup scale="75" fitToHeight="0" orientation="landscape" r:id="rId1"/>
  <headerFooter alignWithMargins="0"/>
  <drawing r:id="rId2"/>
  <extLst>
    <ext xmlns:x14="http://schemas.microsoft.com/office/spreadsheetml/2009/9/main" uri="{78C0D931-6437-407d-A8EE-F0AAD7539E65}">
      <x14:conditionalFormattings>
        <x14:conditionalFormatting xmlns:xm="http://schemas.microsoft.com/office/excel/2006/main">
          <x14:cfRule type="dataBar" id="{850A6733-3AB0-4346-9ABC-67A6745231DA}">
            <x14:dataBar minLength="0" maxLength="100" negativeBarColorSameAsPositive="1" axisPosition="none">
              <x14:cfvo type="min"/>
              <x14:cfvo type="max"/>
            </x14:dataBar>
          </x14:cfRule>
          <xm:sqref>K5 K7</xm:sqref>
        </x14:conditionalFormatting>
        <x14:conditionalFormatting xmlns:xm="http://schemas.microsoft.com/office/excel/2006/main">
          <x14:cfRule type="dataBar" id="{4BFDCF8C-F2A6-4140-881B-4C3DED9BBEF1}">
            <x14:dataBar minLength="0" maxLength="100" negativeBarColorSameAsPositive="1" axisPosition="none">
              <x14:cfvo type="min"/>
              <x14:cfvo type="max"/>
            </x14:dataBar>
          </x14:cfRule>
          <xm:sqref>K9</xm:sqref>
        </x14:conditionalFormatting>
        <x14:conditionalFormatting xmlns:xm="http://schemas.microsoft.com/office/excel/2006/main">
          <x14:cfRule type="dataBar" id="{47A1CA8B-B5CF-E542-8745-9E68A5F14D75}">
            <x14:dataBar minLength="0" maxLength="100" negativeBarColorSameAsPositive="1" axisPosition="none">
              <x14:cfvo type="min"/>
              <x14:cfvo type="max"/>
            </x14:dataBar>
          </x14:cfRule>
          <xm:sqref>K11</xm:sqref>
        </x14:conditionalFormatting>
      </x14:conditionalFormattings>
    </ext>
    <ext xmlns:x14="http://schemas.microsoft.com/office/spreadsheetml/2009/9/main" uri="{05C60535-1F16-4fd2-B633-F4F36F0B64E0}">
      <x14:sparklineGroups xmlns:xm="http://schemas.microsoft.com/office/excel/2006/main">
        <x14:sparklineGroup manualMax="0" manualMin="0" displayEmptyCellsAs="gap" high="1" xr2:uid="{00000000-0003-0000-0900-000027000000}">
          <x14:colorSeries rgb="FF376092"/>
          <x14:colorNegative rgb="FFD00000"/>
          <x14:colorAxis rgb="FF000000"/>
          <x14:colorMarkers rgb="FFD00000"/>
          <x14:colorFirst rgb="FFD00000"/>
          <x14:colorLast rgb="FFD00000"/>
          <x14:colorHigh rgb="FFD00000"/>
          <x14:colorLow rgb="FFD00000"/>
          <x14:sparklines>
            <x14:sparkline>
              <xm:f>data!J213:J224</xm:f>
              <xm:sqref>K11</xm:sqref>
            </x14:sparkline>
          </x14:sparklines>
        </x14:sparklineGroup>
        <x14:sparklineGroup manualMax="0" manualMin="0" displayEmptyCellsAs="gap" high="1" xr2:uid="{00000000-0003-0000-0900-000023000000}">
          <x14:colorSeries rgb="FF376092"/>
          <x14:colorNegative rgb="FFD00000"/>
          <x14:colorAxis rgb="FF000000"/>
          <x14:colorMarkers rgb="FFD00000"/>
          <x14:colorFirst rgb="FFD00000"/>
          <x14:colorLast rgb="FFD00000"/>
          <x14:colorHigh rgb="FFD00000"/>
          <x14:colorLow rgb="FFD00000"/>
          <x14:sparklines>
            <x14:sparkline>
              <xm:f>data!J55:J66</xm:f>
              <xm:sqref>K7</xm:sqref>
            </x14:sparkline>
          </x14:sparklines>
        </x14:sparklineGroup>
        <x14:sparklineGroup manualMax="0" manualMin="0" displayEmptyCellsAs="gap" high="1" xr2:uid="{00000000-0003-0000-0900-000024000000}">
          <x14:colorSeries rgb="FF376092"/>
          <x14:colorNegative rgb="FFD00000"/>
          <x14:colorAxis rgb="FF000000"/>
          <x14:colorMarkers rgb="FFD00000"/>
          <x14:colorFirst rgb="FFD00000"/>
          <x14:colorLast rgb="FFD00000"/>
          <x14:colorHigh rgb="FFD00000"/>
          <x14:colorLow rgb="FFD00000"/>
          <x14:sparklines>
            <x14:sparkline>
              <xm:f>data!J3:J14</xm:f>
              <xm:sqref>K5</xm:sqref>
            </x14:sparkline>
          </x14:sparklines>
        </x14:sparklineGroup>
        <x14:sparklineGroup manualMax="0" manualMin="0" displayEmptyCellsAs="gap" high="1" xr2:uid="{00000000-0003-0000-0900-000025000000}">
          <x14:colorSeries rgb="FF376092"/>
          <x14:colorNegative rgb="FFD00000"/>
          <x14:colorAxis rgb="FF000000"/>
          <x14:colorMarkers rgb="FFD00000"/>
          <x14:colorFirst rgb="FFD00000"/>
          <x14:colorLast rgb="FFD00000"/>
          <x14:colorHigh rgb="FFD00000"/>
          <x14:colorLow rgb="FFD00000"/>
          <x14:sparklines>
            <x14:sparkline>
              <xm:f>data!J106:J117</xm:f>
              <xm:sqref>K9</xm:sqref>
            </x14:sparkline>
          </x14:sparklines>
        </x14:sparklineGroup>
      </x14:sparklineGroup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0"/>
  </sheetPr>
  <dimension ref="A1:K37"/>
  <sheetViews>
    <sheetView topLeftCell="B1" zoomScale="92" zoomScaleNormal="92" zoomScalePageLayoutView="90" workbookViewId="0">
      <selection activeCell="B1" sqref="B1:K32"/>
    </sheetView>
  </sheetViews>
  <sheetFormatPr baseColWidth="10" defaultColWidth="11.5" defaultRowHeight="13" x14ac:dyDescent="0.15"/>
  <cols>
    <col min="1" max="1" width="7.1640625" customWidth="1"/>
    <col min="2" max="2" width="64.5" customWidth="1"/>
    <col min="3" max="3" width="20.6640625" customWidth="1"/>
    <col min="4" max="4" width="18.6640625" customWidth="1"/>
    <col min="5" max="5" width="3.5" customWidth="1"/>
    <col min="6" max="6" width="15.1640625" customWidth="1"/>
    <col min="7" max="7" width="13" customWidth="1"/>
    <col min="8" max="8" width="1.6640625" customWidth="1"/>
    <col min="9" max="9" width="14.5" customWidth="1"/>
    <col min="10" max="10" width="15" customWidth="1"/>
    <col min="11" max="11" width="29.5" customWidth="1"/>
    <col min="12" max="12" width="19.83203125" customWidth="1"/>
    <col min="13" max="13" width="22.1640625" customWidth="1"/>
  </cols>
  <sheetData>
    <row r="1" spans="1:11" ht="52" customHeight="1" thickBot="1" x14ac:dyDescent="0.2">
      <c r="A1" s="7"/>
      <c r="B1" s="329" t="str">
        <f>CONCATENATE("ORNL Summary for ", Summary_data!X1)</f>
        <v>ORNL Summary for FY 2025</v>
      </c>
      <c r="C1" s="329"/>
      <c r="D1" s="329"/>
      <c r="E1" s="329"/>
      <c r="F1" s="329"/>
      <c r="G1" s="329"/>
      <c r="H1" s="329"/>
      <c r="I1" s="329"/>
      <c r="J1" s="329"/>
      <c r="K1" s="329"/>
    </row>
    <row r="2" spans="1:11" ht="25" customHeight="1" thickBot="1" x14ac:dyDescent="0.2">
      <c r="B2" s="335" t="str">
        <f>Summary_data!Z2</f>
        <v>FY2025 Metrics (Oct 2024 to Sep 2025)</v>
      </c>
      <c r="C2" s="336"/>
      <c r="D2" s="337"/>
      <c r="F2" s="340" t="str">
        <f>CONCATENATE(data!$L$2, " Distribution and User Trends ", Summary_data!W1)</f>
        <v>ORNL Distribution and User Trends (Oct 2024 to Sep 2025)</v>
      </c>
      <c r="G2" s="341"/>
      <c r="H2" s="341"/>
      <c r="I2" s="342"/>
      <c r="J2" s="342"/>
      <c r="K2" s="343"/>
    </row>
    <row r="3" spans="1:11" ht="18" customHeight="1" thickBot="1" x14ac:dyDescent="0.2">
      <c r="B3" s="37" t="s">
        <v>64</v>
      </c>
      <c r="C3" s="37" t="s">
        <v>63</v>
      </c>
      <c r="D3" s="37" t="str">
        <f>Summary_data!$C$14</f>
        <v>ORNL</v>
      </c>
      <c r="F3" s="344" t="s">
        <v>64</v>
      </c>
      <c r="G3" s="38" t="s">
        <v>11</v>
      </c>
      <c r="H3" s="39"/>
      <c r="I3" s="40" t="s">
        <v>25</v>
      </c>
      <c r="J3" s="40" t="s">
        <v>32</v>
      </c>
      <c r="K3" s="41" t="s">
        <v>26</v>
      </c>
    </row>
    <row r="4" spans="1:11" ht="18" customHeight="1" thickBot="1" x14ac:dyDescent="0.2">
      <c r="B4" s="224" t="s">
        <v>137</v>
      </c>
      <c r="C4" s="53">
        <f>Summary_data!AA13</f>
        <v>18755</v>
      </c>
      <c r="D4" s="55">
        <f>Summary_data!$D$14</f>
        <v>3223</v>
      </c>
      <c r="F4" s="345"/>
      <c r="G4" s="42" t="str">
        <f>Summary_data!AE2</f>
        <v>FY2025</v>
      </c>
      <c r="H4" s="43"/>
      <c r="I4" s="44" t="str">
        <f>Summary_data!AF2</f>
        <v>FY2024</v>
      </c>
      <c r="J4" s="43" t="s">
        <v>27</v>
      </c>
      <c r="K4" s="45" t="s">
        <v>28</v>
      </c>
    </row>
    <row r="5" spans="1:11" ht="23" customHeight="1" thickBot="1" x14ac:dyDescent="0.2">
      <c r="B5" s="226" t="s">
        <v>150</v>
      </c>
      <c r="C5" s="53" t="str">
        <f>Summary_data!AA14</f>
        <v>10 M</v>
      </c>
      <c r="D5" s="56">
        <f>Summary_data!I$14</f>
        <v>411097</v>
      </c>
      <c r="F5" s="348" t="s">
        <v>68</v>
      </c>
      <c r="G5" s="358">
        <f>data!$L$15</f>
        <v>192.54209200000003</v>
      </c>
      <c r="H5" s="338"/>
      <c r="I5" s="332">
        <f>(data!$L$15-data!$L$17)/data!$L$17</f>
        <v>0.45408337200853044</v>
      </c>
      <c r="J5" s="339">
        <f>data!$L$16</f>
        <v>16.045174333333335</v>
      </c>
      <c r="K5" s="333"/>
    </row>
    <row r="6" spans="1:11" ht="18" customHeight="1" thickBot="1" x14ac:dyDescent="0.2">
      <c r="B6" s="226" t="s">
        <v>151</v>
      </c>
      <c r="C6" s="53" t="str">
        <f>Summary_data!AA15</f>
        <v>14.9  M</v>
      </c>
      <c r="D6" s="56">
        <f>Summary_data!K$14</f>
        <v>252727</v>
      </c>
      <c r="F6" s="330"/>
      <c r="G6" s="359"/>
      <c r="H6" s="323"/>
      <c r="I6" s="325"/>
      <c r="J6" s="334"/>
      <c r="K6" s="317"/>
    </row>
    <row r="7" spans="1:11" ht="18" customHeight="1" thickBot="1" x14ac:dyDescent="0.2">
      <c r="B7" s="226" t="s">
        <v>0</v>
      </c>
      <c r="C7" s="58" t="str">
        <f>Summary_data!AA16</f>
        <v>160 TB/day</v>
      </c>
      <c r="D7" s="54" t="str">
        <f>CONCATENATE(FIXED(1024*Summary_data!$N$14,1), " GB/day")</f>
        <v>1,319.8 GB/day</v>
      </c>
      <c r="F7" s="319" t="s">
        <v>62</v>
      </c>
      <c r="G7" s="360">
        <f>data!$L$67</f>
        <v>2722.0789968397062</v>
      </c>
      <c r="H7" s="323"/>
      <c r="I7" s="332">
        <f>(data!$L$67-data!$L$69)/data!$L$69</f>
        <v>-0.43350338646430925</v>
      </c>
      <c r="J7" s="334">
        <f>data!$L$68</f>
        <v>226.83991640330885</v>
      </c>
      <c r="K7" s="317"/>
    </row>
    <row r="8" spans="1:11" ht="18" customHeight="1" thickBot="1" x14ac:dyDescent="0.2">
      <c r="B8" s="226" t="s">
        <v>152</v>
      </c>
      <c r="C8" s="58" t="str">
        <f>Summary_data!AA17</f>
        <v>178.7 PB</v>
      </c>
      <c r="D8" s="57" t="str">
        <f>CONCATENATE(FIXED(Summary_data!$O$14,1), " TB")</f>
        <v>798.9 TB</v>
      </c>
      <c r="F8" s="330"/>
      <c r="G8" s="361"/>
      <c r="H8" s="323"/>
      <c r="I8" s="325"/>
      <c r="J8" s="334"/>
      <c r="K8" s="317"/>
    </row>
    <row r="9" spans="1:11" ht="18" customHeight="1" thickBot="1" x14ac:dyDescent="0.2">
      <c r="B9" s="226" t="s">
        <v>153</v>
      </c>
      <c r="C9" s="53" t="str">
        <f>Summary_data!AA18</f>
        <v>116.2 PB</v>
      </c>
      <c r="D9" s="57" t="str">
        <f>CONCATENATE(FIXED(Summary_data!$U$14,1), " TB")</f>
        <v>570.4 TB</v>
      </c>
      <c r="F9" s="319" t="s">
        <v>58</v>
      </c>
      <c r="G9" s="321">
        <f>data!$L$120</f>
        <v>269140</v>
      </c>
      <c r="H9" s="323"/>
      <c r="I9" s="332">
        <f>(data!$L$120-data!$L$121)/data!$L$121</f>
        <v>-0.1743589271635729</v>
      </c>
      <c r="J9" s="327">
        <f>data!$L$119</f>
        <v>26098</v>
      </c>
      <c r="K9" s="317"/>
    </row>
    <row r="10" spans="1:11" ht="18" customHeight="1" thickBot="1" x14ac:dyDescent="0.2">
      <c r="B10" s="226" t="s">
        <v>154</v>
      </c>
      <c r="C10" s="53" t="str">
        <f>Summary_data!AA19</f>
        <v>7,799.9 M</v>
      </c>
      <c r="D10" s="56" t="str">
        <f>CONCATENATE(FIXED(Summary_data!$R$14,1), " M")</f>
        <v>192.5 M</v>
      </c>
      <c r="F10" s="330"/>
      <c r="G10" s="357"/>
      <c r="H10" s="323"/>
      <c r="I10" s="325"/>
      <c r="J10" s="327"/>
      <c r="K10" s="317"/>
    </row>
    <row r="11" spans="1:11" ht="18" customHeight="1" thickBot="1" x14ac:dyDescent="0.2">
      <c r="B11" s="226" t="s">
        <v>155</v>
      </c>
      <c r="C11" s="53" t="str">
        <f>Summary_data!AA20</f>
        <v>4,316.1 M</v>
      </c>
      <c r="D11" s="56" t="str">
        <f>CONCATENATE(FIXED(Summary_data!$V$14,2), " M")</f>
        <v>5,029,807.00 M</v>
      </c>
      <c r="E11" s="5"/>
      <c r="F11" s="319" t="s">
        <v>125</v>
      </c>
      <c r="G11" s="321">
        <f>data!$L$227</f>
        <v>159306</v>
      </c>
      <c r="H11" s="323"/>
      <c r="I11" s="325">
        <f>(data!$L$227-data!$L$228)/data!$L$228</f>
        <v>2.7709132225536144</v>
      </c>
      <c r="J11" s="327">
        <f>data!$L$226</f>
        <v>13275.5</v>
      </c>
      <c r="K11" s="317"/>
    </row>
    <row r="12" spans="1:11" ht="18" customHeight="1" thickBot="1" x14ac:dyDescent="0.2">
      <c r="B12" s="226" t="s">
        <v>156</v>
      </c>
      <c r="C12" s="53" t="str">
        <f>Summary_data!AA21</f>
        <v>600 TB/day</v>
      </c>
      <c r="D12" s="56" t="str">
        <f>CONCATENATE(FIXED(1024*Summary_data!$T$14,1), " GB/day")</f>
        <v>7,636.7 GB/day</v>
      </c>
      <c r="F12" s="320"/>
      <c r="G12" s="356"/>
      <c r="H12" s="324"/>
      <c r="I12" s="326"/>
      <c r="J12" s="328"/>
      <c r="K12" s="318"/>
    </row>
    <row r="13" spans="1:11" ht="18" customHeight="1" x14ac:dyDescent="0.15"/>
    <row r="14" spans="1:11" ht="18" customHeight="1" x14ac:dyDescent="0.15"/>
    <row r="15" spans="1:11" ht="18" customHeight="1" x14ac:dyDescent="0.15"/>
    <row r="16" spans="1:11" ht="25" customHeight="1" x14ac:dyDescent="0.15"/>
    <row r="17" ht="25" customHeight="1" x14ac:dyDescent="0.15"/>
    <row r="18" ht="25" customHeight="1" x14ac:dyDescent="0.15"/>
    <row r="19" ht="25" customHeight="1" x14ac:dyDescent="0.15"/>
    <row r="20" ht="25" customHeight="1" x14ac:dyDescent="0.15"/>
    <row r="21" ht="25" customHeight="1" x14ac:dyDescent="0.15"/>
    <row r="22" ht="25" customHeight="1" x14ac:dyDescent="0.15"/>
    <row r="23" ht="25" customHeight="1" x14ac:dyDescent="0.15"/>
    <row r="24" ht="25" customHeight="1" x14ac:dyDescent="0.15"/>
    <row r="25" ht="25" customHeight="1" x14ac:dyDescent="0.15"/>
    <row r="26" ht="25" customHeight="1" x14ac:dyDescent="0.15"/>
    <row r="27" ht="25" customHeight="1" x14ac:dyDescent="0.15"/>
    <row r="28" ht="25" customHeight="1" x14ac:dyDescent="0.15"/>
    <row r="29" ht="25" customHeight="1" x14ac:dyDescent="0.15"/>
    <row r="30" ht="25" customHeight="1" x14ac:dyDescent="0.15"/>
    <row r="31" ht="25" customHeight="1" x14ac:dyDescent="0.15"/>
    <row r="32" ht="25" customHeight="1" x14ac:dyDescent="0.15"/>
    <row r="33" ht="25" customHeight="1" x14ac:dyDescent="0.15"/>
    <row r="34" ht="25" customHeight="1" x14ac:dyDescent="0.15"/>
    <row r="35" ht="30" customHeight="1" x14ac:dyDescent="0.15"/>
    <row r="36" ht="30" customHeight="1" x14ac:dyDescent="0.15"/>
    <row r="37" ht="30" customHeight="1" x14ac:dyDescent="0.15"/>
  </sheetData>
  <dataConsolidate/>
  <mergeCells count="28">
    <mergeCell ref="K5:K6"/>
    <mergeCell ref="F7:F8"/>
    <mergeCell ref="G7:G8"/>
    <mergeCell ref="H7:H8"/>
    <mergeCell ref="I7:I8"/>
    <mergeCell ref="J7:J8"/>
    <mergeCell ref="B1:K1"/>
    <mergeCell ref="F9:F10"/>
    <mergeCell ref="G9:G10"/>
    <mergeCell ref="H9:H10"/>
    <mergeCell ref="I9:I10"/>
    <mergeCell ref="J9:J10"/>
    <mergeCell ref="K9:K10"/>
    <mergeCell ref="K7:K8"/>
    <mergeCell ref="B2:D2"/>
    <mergeCell ref="F2:K2"/>
    <mergeCell ref="F3:F4"/>
    <mergeCell ref="F5:F6"/>
    <mergeCell ref="G5:G6"/>
    <mergeCell ref="H5:H6"/>
    <mergeCell ref="I5:I6"/>
    <mergeCell ref="J5:J6"/>
    <mergeCell ref="K11:K12"/>
    <mergeCell ref="F11:F12"/>
    <mergeCell ref="G11:G12"/>
    <mergeCell ref="H11:H12"/>
    <mergeCell ref="I11:I12"/>
    <mergeCell ref="J11:J12"/>
  </mergeCells>
  <conditionalFormatting sqref="I5 I7 I9">
    <cfRule type="iconSet" priority="270">
      <iconSet iconSet="3Arrows">
        <cfvo type="percent" val="0"/>
        <cfvo type="num" val="0"/>
        <cfvo type="num" val="0.01"/>
      </iconSet>
    </cfRule>
    <cfRule type="iconSet" priority="271">
      <iconSet showValue="0">
        <cfvo type="percent" val="0"/>
        <cfvo type="num" val="0.9"/>
        <cfvo type="num" val="0.95"/>
      </iconSet>
    </cfRule>
    <cfRule type="iconSet" priority="276">
      <iconSet iconSet="5Arrows">
        <cfvo type="percent" val="0"/>
        <cfvo type="percent" val="20"/>
        <cfvo type="percent" val="40"/>
        <cfvo type="percent" val="60"/>
        <cfvo type="percent" val="80"/>
      </iconSet>
    </cfRule>
    <cfRule type="iconSet" priority="277">
      <iconSet>
        <cfvo type="percent" val="0"/>
        <cfvo type="percent" val="33"/>
        <cfvo type="percent" val="67"/>
      </iconSet>
    </cfRule>
    <cfRule type="iconSet" priority="278">
      <iconSet iconSet="4Arrows">
        <cfvo type="percent" val="0"/>
        <cfvo type="percent" val="25"/>
        <cfvo type="percent" val="50"/>
        <cfvo type="percentile" val="75"/>
      </iconSet>
    </cfRule>
    <cfRule type="iconSet" priority="279">
      <iconSet iconSet="5Arrows">
        <cfvo type="percent" val="0"/>
        <cfvo type="percent" val="20"/>
        <cfvo type="percent" val="40"/>
        <cfvo type="percent" val="60"/>
        <cfvo type="percent" val="80"/>
      </iconSet>
    </cfRule>
    <cfRule type="iconSet" priority="280">
      <iconSet iconSet="3Arrows">
        <cfvo type="percent" val="0"/>
        <cfvo type="percent" val="33"/>
        <cfvo type="percent" val="67"/>
      </iconSet>
    </cfRule>
    <cfRule type="iconSet" priority="291">
      <iconSet iconSet="5Arrows">
        <cfvo type="percent" val="0"/>
        <cfvo type="num" val="-0.2"/>
        <cfvo type="num" val="-0.05"/>
        <cfvo type="num" val="0.05"/>
        <cfvo type="num" val="0.2"/>
      </iconSet>
    </cfRule>
  </conditionalFormatting>
  <conditionalFormatting sqref="I11">
    <cfRule type="iconSet" priority="1">
      <iconSet iconSet="3Arrows">
        <cfvo type="percent" val="0"/>
        <cfvo type="num" val="0"/>
        <cfvo type="num" val="0.01"/>
      </iconSet>
    </cfRule>
    <cfRule type="iconSet" priority="2">
      <iconSet iconSet="5Arrows">
        <cfvo type="percent" val="0"/>
        <cfvo type="num" val="-0.2"/>
        <cfvo type="num" val="-0.05"/>
        <cfvo type="num" val="0.05"/>
        <cfvo type="num" val="0.2"/>
      </iconSet>
    </cfRule>
    <cfRule type="iconSet" priority="3">
      <iconSet iconSet="5Arrows">
        <cfvo type="percent" val="0"/>
        <cfvo type="percent" val="20"/>
        <cfvo type="percent" val="40"/>
        <cfvo type="percent" val="60"/>
        <cfvo type="percent" val="80"/>
      </iconSet>
    </cfRule>
    <cfRule type="iconSet" priority="4">
      <iconSet showValue="0">
        <cfvo type="percent" val="0"/>
        <cfvo type="num" val="0.9"/>
        <cfvo type="num" val="0.95"/>
      </iconSet>
    </cfRule>
    <cfRule type="iconSet" priority="5">
      <iconSet>
        <cfvo type="percent" val="0"/>
        <cfvo type="percent" val="33"/>
        <cfvo type="percent" val="67"/>
      </iconSet>
    </cfRule>
    <cfRule type="iconSet" priority="6">
      <iconSet iconSet="4Arrows">
        <cfvo type="percent" val="0"/>
        <cfvo type="percent" val="25"/>
        <cfvo type="percent" val="50"/>
        <cfvo type="percentile" val="75"/>
      </iconSet>
    </cfRule>
    <cfRule type="iconSet" priority="7">
      <iconSet iconSet="5Arrows">
        <cfvo type="percent" val="0"/>
        <cfvo type="percent" val="20"/>
        <cfvo type="percent" val="40"/>
        <cfvo type="percent" val="60"/>
        <cfvo type="percent" val="80"/>
      </iconSet>
    </cfRule>
    <cfRule type="iconSet" priority="8">
      <iconSet iconSet="3Arrows">
        <cfvo type="percent" val="0"/>
        <cfvo type="percent" val="33"/>
        <cfvo type="percent" val="67"/>
      </iconSet>
    </cfRule>
  </conditionalFormatting>
  <conditionalFormatting sqref="K5 K7">
    <cfRule type="dataBar" priority="44">
      <dataBar>
        <cfvo type="min"/>
        <cfvo type="max"/>
        <color rgb="FF638EC6"/>
      </dataBar>
      <extLst>
        <ext xmlns:x14="http://schemas.microsoft.com/office/spreadsheetml/2009/9/main" uri="{B025F937-C7B1-47D3-B67F-A62EFF666E3E}">
          <x14:id>{78E45AA7-D7B0-BD47-A9AD-76B6AB9DA130}</x14:id>
        </ext>
      </extLst>
    </cfRule>
  </conditionalFormatting>
  <conditionalFormatting sqref="K9">
    <cfRule type="dataBar" priority="43">
      <dataBar>
        <cfvo type="min"/>
        <cfvo type="max"/>
        <color rgb="FF638EC6"/>
      </dataBar>
      <extLst>
        <ext xmlns:x14="http://schemas.microsoft.com/office/spreadsheetml/2009/9/main" uri="{B025F937-C7B1-47D3-B67F-A62EFF666E3E}">
          <x14:id>{E8679BD3-4BC0-864E-9970-FC6444C28B48}</x14:id>
        </ext>
      </extLst>
    </cfRule>
  </conditionalFormatting>
  <conditionalFormatting sqref="K11">
    <cfRule type="dataBar" priority="9">
      <dataBar>
        <cfvo type="min"/>
        <cfvo type="max"/>
        <color rgb="FF638EC6"/>
      </dataBar>
      <extLst>
        <ext xmlns:x14="http://schemas.microsoft.com/office/spreadsheetml/2009/9/main" uri="{B025F937-C7B1-47D3-B67F-A62EFF666E3E}">
          <x14:id>{65F80109-D683-194F-B4A4-DEAAF2DB0194}</x14:id>
        </ext>
      </extLst>
    </cfRule>
  </conditionalFormatting>
  <pageMargins left="0.75" right="0.75" top="1" bottom="1" header="0.5" footer="0.5"/>
  <pageSetup scale="75" orientation="landscape" r:id="rId1"/>
  <headerFooter alignWithMargins="0"/>
  <drawing r:id="rId2"/>
  <extLst>
    <ext xmlns:x14="http://schemas.microsoft.com/office/spreadsheetml/2009/9/main" uri="{78C0D931-6437-407d-A8EE-F0AAD7539E65}">
      <x14:conditionalFormattings>
        <x14:conditionalFormatting xmlns:xm="http://schemas.microsoft.com/office/excel/2006/main">
          <x14:cfRule type="dataBar" id="{78E45AA7-D7B0-BD47-A9AD-76B6AB9DA130}">
            <x14:dataBar minLength="0" maxLength="100" negativeBarColorSameAsPositive="1" axisPosition="none">
              <x14:cfvo type="min"/>
              <x14:cfvo type="max"/>
            </x14:dataBar>
          </x14:cfRule>
          <xm:sqref>K5 K7</xm:sqref>
        </x14:conditionalFormatting>
        <x14:conditionalFormatting xmlns:xm="http://schemas.microsoft.com/office/excel/2006/main">
          <x14:cfRule type="dataBar" id="{E8679BD3-4BC0-864E-9970-FC6444C28B48}">
            <x14:dataBar minLength="0" maxLength="100" negativeBarColorSameAsPositive="1" axisPosition="none">
              <x14:cfvo type="min"/>
              <x14:cfvo type="max"/>
            </x14:dataBar>
          </x14:cfRule>
          <xm:sqref>K9</xm:sqref>
        </x14:conditionalFormatting>
        <x14:conditionalFormatting xmlns:xm="http://schemas.microsoft.com/office/excel/2006/main">
          <x14:cfRule type="dataBar" id="{65F80109-D683-194F-B4A4-DEAAF2DB0194}">
            <x14:dataBar minLength="0" maxLength="100" negativeBarColorSameAsPositive="1" axisPosition="none">
              <x14:cfvo type="min"/>
              <x14:cfvo type="max"/>
            </x14:dataBar>
          </x14:cfRule>
          <xm:sqref>K11</xm:sqref>
        </x14:conditionalFormatting>
      </x14:conditionalFormattings>
    </ext>
    <ext xmlns:x14="http://schemas.microsoft.com/office/spreadsheetml/2009/9/main" uri="{05C60535-1F16-4fd2-B633-F4F36F0B64E0}">
      <x14:sparklineGroups xmlns:xm="http://schemas.microsoft.com/office/excel/2006/main">
        <x14:sparklineGroup manualMax="0" manualMin="0" displayEmptyCellsAs="gap" high="1" xr2:uid="{00000000-0003-0000-0A00-00002C000000}">
          <x14:colorSeries rgb="FF376092"/>
          <x14:colorNegative rgb="FFD00000"/>
          <x14:colorAxis rgb="FF000000"/>
          <x14:colorMarkers rgb="FFD00000"/>
          <x14:colorFirst rgb="FFD00000"/>
          <x14:colorLast rgb="FFD00000"/>
          <x14:colorHigh rgb="FFD00000"/>
          <x14:colorLow rgb="FFD00000"/>
          <x14:sparklines>
            <x14:sparkline>
              <xm:f>data!L213:L224</xm:f>
              <xm:sqref>K11</xm:sqref>
            </x14:sparkline>
          </x14:sparklines>
        </x14:sparklineGroup>
        <x14:sparklineGroup manualMax="0" manualMin="0" displayEmptyCellsAs="gap" high="1" xr2:uid="{00000000-0003-0000-0A00-000029000000}">
          <x14:colorSeries rgb="FF376092"/>
          <x14:colorNegative rgb="FFD00000"/>
          <x14:colorAxis rgb="FF000000"/>
          <x14:colorMarkers rgb="FFD00000"/>
          <x14:colorFirst rgb="FFD00000"/>
          <x14:colorLast rgb="FFD00000"/>
          <x14:colorHigh rgb="FFD00000"/>
          <x14:colorLow rgb="FFD00000"/>
          <x14:sparklines>
            <x14:sparkline>
              <xm:f>data!L106:L117</xm:f>
              <xm:sqref>K9</xm:sqref>
            </x14:sparkline>
          </x14:sparklines>
        </x14:sparklineGroup>
        <x14:sparklineGroup manualMax="0" manualMin="0" displayEmptyCellsAs="gap" high="1" xr2:uid="{00000000-0003-0000-0A00-00002A000000}">
          <x14:colorSeries rgb="FF376092"/>
          <x14:colorNegative rgb="FFD00000"/>
          <x14:colorAxis rgb="FF000000"/>
          <x14:colorMarkers rgb="FFD00000"/>
          <x14:colorFirst rgb="FFD00000"/>
          <x14:colorLast rgb="FFD00000"/>
          <x14:colorHigh rgb="FFD00000"/>
          <x14:colorLow rgb="FFD00000"/>
          <x14:sparklines>
            <x14:sparkline>
              <xm:f>data!L3:L14</xm:f>
              <xm:sqref>K5</xm:sqref>
            </x14:sparkline>
          </x14:sparklines>
        </x14:sparklineGroup>
        <x14:sparklineGroup manualMax="0" manualMin="0" displayEmptyCellsAs="gap" high="1" xr2:uid="{00000000-0003-0000-0A00-00002B000000}">
          <x14:colorSeries rgb="FF376092"/>
          <x14:colorNegative rgb="FFD00000"/>
          <x14:colorAxis rgb="FF000000"/>
          <x14:colorMarkers rgb="FFD00000"/>
          <x14:colorFirst rgb="FFD00000"/>
          <x14:colorLast rgb="FFD00000"/>
          <x14:colorHigh rgb="FFD00000"/>
          <x14:colorLow rgb="FFD00000"/>
          <x14:sparklines>
            <x14:sparkline>
              <xm:f>data!L55:L66</xm:f>
              <xm:sqref>K7</xm:sqref>
            </x14:sparkline>
          </x14:sparklines>
        </x14:sparklineGroup>
      </x14:sparklineGroup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0"/>
  </sheetPr>
  <dimension ref="A1:K35"/>
  <sheetViews>
    <sheetView zoomScale="111" zoomScaleNormal="111" zoomScalePageLayoutView="90" workbookViewId="0">
      <selection activeCell="B1" sqref="B1:K32"/>
    </sheetView>
  </sheetViews>
  <sheetFormatPr baseColWidth="10" defaultColWidth="11.5" defaultRowHeight="13" x14ac:dyDescent="0.15"/>
  <cols>
    <col min="1" max="1" width="7.1640625" customWidth="1"/>
    <col min="2" max="2" width="63" customWidth="1"/>
    <col min="3" max="3" width="20.6640625" customWidth="1"/>
    <col min="4" max="4" width="18.6640625" customWidth="1"/>
    <col min="5" max="5" width="3.5" customWidth="1"/>
    <col min="6" max="6" width="15.1640625" customWidth="1"/>
    <col min="7" max="7" width="13" customWidth="1"/>
    <col min="8" max="8" width="1.6640625" customWidth="1"/>
    <col min="9" max="9" width="14.5" customWidth="1"/>
    <col min="10" max="10" width="15" customWidth="1"/>
    <col min="11" max="11" width="29.5" customWidth="1"/>
    <col min="12" max="12" width="19.83203125" customWidth="1"/>
    <col min="13" max="13" width="22.1640625" customWidth="1"/>
  </cols>
  <sheetData>
    <row r="1" spans="1:11" ht="52" customHeight="1" thickBot="1" x14ac:dyDescent="0.2">
      <c r="A1" s="7"/>
      <c r="B1" s="329" t="str">
        <f>CONCATENATE("OB.DAAC Summary for ", Summary_data!X1)</f>
        <v>OB.DAAC Summary for FY 2025</v>
      </c>
      <c r="C1" s="329"/>
      <c r="D1" s="329"/>
      <c r="E1" s="329"/>
      <c r="F1" s="329"/>
      <c r="G1" s="329"/>
      <c r="H1" s="329"/>
      <c r="I1" s="329"/>
      <c r="J1" s="329"/>
      <c r="K1" s="329"/>
    </row>
    <row r="2" spans="1:11" ht="25" customHeight="1" thickBot="1" x14ac:dyDescent="0.2">
      <c r="B2" s="335" t="str">
        <f>Summary_data!Z2</f>
        <v>FY2025 Metrics (Oct 2024 to Sep 2025)</v>
      </c>
      <c r="C2" s="336"/>
      <c r="D2" s="337"/>
      <c r="F2" s="340" t="str">
        <f>CONCATENATE(data!$K$2, " Distribution and User Trends ", Summary_data!W1)</f>
        <v>OB.DAAC Distribution and User Trends (Oct 2024 to Sep 2025)</v>
      </c>
      <c r="G2" s="341"/>
      <c r="H2" s="341"/>
      <c r="I2" s="342"/>
      <c r="J2" s="342"/>
      <c r="K2" s="343"/>
    </row>
    <row r="3" spans="1:11" ht="18" customHeight="1" thickBot="1" x14ac:dyDescent="0.2">
      <c r="B3" s="37" t="s">
        <v>64</v>
      </c>
      <c r="C3" s="37" t="s">
        <v>63</v>
      </c>
      <c r="D3" s="37" t="str">
        <f>Summary_data!$C$13</f>
        <v>OB.DAAC</v>
      </c>
      <c r="F3" s="344" t="s">
        <v>64</v>
      </c>
      <c r="G3" s="38" t="s">
        <v>11</v>
      </c>
      <c r="H3" s="39"/>
      <c r="I3" s="40" t="s">
        <v>25</v>
      </c>
      <c r="J3" s="40" t="s">
        <v>32</v>
      </c>
      <c r="K3" s="41" t="s">
        <v>26</v>
      </c>
    </row>
    <row r="4" spans="1:11" ht="18" customHeight="1" thickBot="1" x14ac:dyDescent="0.2">
      <c r="B4" s="224" t="s">
        <v>137</v>
      </c>
      <c r="C4" s="53">
        <f>Summary_data!AA13</f>
        <v>18755</v>
      </c>
      <c r="D4" s="55">
        <f>Summary_data!$D$13</f>
        <v>1208</v>
      </c>
      <c r="F4" s="345"/>
      <c r="G4" s="42" t="str">
        <f>Summary_data!AE2</f>
        <v>FY2025</v>
      </c>
      <c r="H4" s="43"/>
      <c r="I4" s="44" t="str">
        <f>Summary_data!AF2</f>
        <v>FY2024</v>
      </c>
      <c r="J4" s="43" t="s">
        <v>27</v>
      </c>
      <c r="K4" s="45" t="s">
        <v>28</v>
      </c>
    </row>
    <row r="5" spans="1:11" ht="22" customHeight="1" thickBot="1" x14ac:dyDescent="0.2">
      <c r="B5" s="226" t="s">
        <v>150</v>
      </c>
      <c r="C5" s="53" t="str">
        <f>Summary_data!AA14</f>
        <v>10 M</v>
      </c>
      <c r="D5" s="56">
        <f>Summary_data!I$13</f>
        <v>92095</v>
      </c>
      <c r="F5" s="348" t="s">
        <v>68</v>
      </c>
      <c r="G5" s="358">
        <f>data!$K$15</f>
        <v>83.849920000000012</v>
      </c>
      <c r="H5" s="338"/>
      <c r="I5" s="332">
        <f>(data!$K$15-data!$K$17)/data!$K$17</f>
        <v>0.25279816135371441</v>
      </c>
      <c r="J5" s="339">
        <f>data!$K$16</f>
        <v>6.987493333333334</v>
      </c>
      <c r="K5" s="333"/>
    </row>
    <row r="6" spans="1:11" ht="18" customHeight="1" thickBot="1" x14ac:dyDescent="0.2">
      <c r="B6" s="226" t="s">
        <v>151</v>
      </c>
      <c r="C6" s="53" t="str">
        <f>Summary_data!AA15</f>
        <v>14.9  M</v>
      </c>
      <c r="D6" s="56">
        <f>Summary_data!K13</f>
        <v>168713</v>
      </c>
      <c r="F6" s="330"/>
      <c r="G6" s="359"/>
      <c r="H6" s="323"/>
      <c r="I6" s="325"/>
      <c r="J6" s="334"/>
      <c r="K6" s="317"/>
    </row>
    <row r="7" spans="1:11" ht="20" thickBot="1" x14ac:dyDescent="0.2">
      <c r="B7" s="226" t="s">
        <v>0</v>
      </c>
      <c r="C7" s="58" t="str">
        <f>Summary_data!AA16</f>
        <v>160 TB/day</v>
      </c>
      <c r="D7" s="56" t="str">
        <f>CONCATENATE(FIXED(1024*Summary_data!$N$13,1), " GB/day")</f>
        <v>8,757.7 GB/day</v>
      </c>
      <c r="F7" s="319" t="s">
        <v>62</v>
      </c>
      <c r="G7" s="360">
        <f>data!$K$67</f>
        <v>3590.8465475862404</v>
      </c>
      <c r="H7" s="323"/>
      <c r="I7" s="332">
        <f>(data!$K$67-data!$K$69)/data!$K$69</f>
        <v>1.1838506730394169</v>
      </c>
      <c r="J7" s="334">
        <f>data!$K$68</f>
        <v>299.23721229885336</v>
      </c>
      <c r="K7" s="317"/>
    </row>
    <row r="8" spans="1:11" ht="18" customHeight="1" thickBot="1" x14ac:dyDescent="0.2">
      <c r="B8" s="226" t="s">
        <v>152</v>
      </c>
      <c r="C8" s="58" t="str">
        <f>Summary_data!AA17</f>
        <v>178.7 PB</v>
      </c>
      <c r="D8" s="56" t="str">
        <f>CONCATENATE(FIXED(Summary_data!$O$13,1), " TB")</f>
        <v>8,363.1 TB</v>
      </c>
      <c r="F8" s="330"/>
      <c r="G8" s="361"/>
      <c r="H8" s="323"/>
      <c r="I8" s="325"/>
      <c r="J8" s="334"/>
      <c r="K8" s="317"/>
    </row>
    <row r="9" spans="1:11" ht="18" customHeight="1" thickBot="1" x14ac:dyDescent="0.2">
      <c r="B9" s="226" t="s">
        <v>153</v>
      </c>
      <c r="C9" s="53" t="str">
        <f>Summary_data!AA18</f>
        <v>116.2 PB</v>
      </c>
      <c r="D9" s="57" t="str">
        <f>CONCATENATE(FIXED(Summary_data!$U$13,1), " TB")</f>
        <v>2,211.3 TB</v>
      </c>
      <c r="F9" s="319" t="s">
        <v>58</v>
      </c>
      <c r="G9" s="321">
        <f>data!$K$120</f>
        <v>18257</v>
      </c>
      <c r="H9" s="323"/>
      <c r="I9" s="332">
        <f>(data!$K$120-data!$K$121)/data!$K$121</f>
        <v>0.28182264972267079</v>
      </c>
      <c r="J9" s="327">
        <f>data!$K$119</f>
        <v>2557.9166666666665</v>
      </c>
      <c r="K9" s="317"/>
    </row>
    <row r="10" spans="1:11" ht="18" customHeight="1" thickBot="1" x14ac:dyDescent="0.2">
      <c r="B10" s="226" t="s">
        <v>154</v>
      </c>
      <c r="C10" s="53" t="str">
        <f>Summary_data!AA19</f>
        <v>7,799.9 M</v>
      </c>
      <c r="D10" s="56" t="str">
        <f>CONCATENATE(FIXED(Summary_data!$R$13,1), " M")</f>
        <v>83.8 M</v>
      </c>
      <c r="F10" s="330"/>
      <c r="G10" s="357"/>
      <c r="H10" s="323"/>
      <c r="I10" s="325"/>
      <c r="J10" s="327"/>
      <c r="K10" s="317"/>
    </row>
    <row r="11" spans="1:11" ht="18" customHeight="1" thickBot="1" x14ac:dyDescent="0.2">
      <c r="B11" s="226" t="s">
        <v>155</v>
      </c>
      <c r="C11" s="53" t="str">
        <f>Summary_data!AA20</f>
        <v>4,316.1 M</v>
      </c>
      <c r="D11" s="56" t="str">
        <f>CONCATENATE(FIXED(Summary_data!$V$13,2), " M")</f>
        <v>6,135,358.00 M</v>
      </c>
      <c r="E11" s="5"/>
      <c r="F11" s="319" t="s">
        <v>67</v>
      </c>
      <c r="G11" s="365">
        <f>data!K227</f>
        <v>89719</v>
      </c>
      <c r="H11" s="367"/>
      <c r="I11" s="325">
        <f>(data!$K$227-data!$K$228)/data!$K$228</f>
        <v>1.3848116743308259</v>
      </c>
      <c r="J11" s="327">
        <f>data!K226</f>
        <v>7476.583333333333</v>
      </c>
      <c r="K11" s="363"/>
    </row>
    <row r="12" spans="1:11" ht="18" customHeight="1" thickBot="1" x14ac:dyDescent="0.2">
      <c r="B12" s="226" t="s">
        <v>156</v>
      </c>
      <c r="C12" s="53" t="str">
        <f>Summary_data!AA21</f>
        <v>600 TB/day</v>
      </c>
      <c r="D12" s="56" t="str">
        <f>CONCATENATE(FIXED(1024*Summary_data!$T$13,1), " GB/day")</f>
        <v>10,074.0 GB/day</v>
      </c>
      <c r="F12" s="320"/>
      <c r="G12" s="366"/>
      <c r="H12" s="368"/>
      <c r="I12" s="326"/>
      <c r="J12" s="328"/>
      <c r="K12" s="364"/>
    </row>
    <row r="13" spans="1:11" ht="18" customHeight="1" x14ac:dyDescent="0.15"/>
    <row r="14" spans="1:11" ht="25" customHeight="1" x14ac:dyDescent="0.15"/>
    <row r="15" spans="1:11" ht="25" customHeight="1" x14ac:dyDescent="0.15"/>
    <row r="16" spans="1:11" ht="25" customHeight="1" x14ac:dyDescent="0.15"/>
    <row r="17" ht="25" customHeight="1" x14ac:dyDescent="0.15"/>
    <row r="18" ht="25" customHeight="1" x14ac:dyDescent="0.15"/>
    <row r="19" ht="25" customHeight="1" x14ac:dyDescent="0.15"/>
    <row r="20" ht="25" customHeight="1" x14ac:dyDescent="0.15"/>
    <row r="21" ht="25" customHeight="1" x14ac:dyDescent="0.15"/>
    <row r="22" ht="25" customHeight="1" x14ac:dyDescent="0.15"/>
    <row r="23" ht="25" customHeight="1" x14ac:dyDescent="0.15"/>
    <row r="24" ht="25" customHeight="1" x14ac:dyDescent="0.15"/>
    <row r="25" ht="25" customHeight="1" x14ac:dyDescent="0.15"/>
    <row r="26" ht="25" customHeight="1" x14ac:dyDescent="0.15"/>
    <row r="27" ht="25" customHeight="1" x14ac:dyDescent="0.15"/>
    <row r="28" ht="25" customHeight="1" x14ac:dyDescent="0.15"/>
    <row r="29" ht="25" customHeight="1" x14ac:dyDescent="0.15"/>
    <row r="30" ht="25" customHeight="1" x14ac:dyDescent="0.15"/>
    <row r="31" ht="25" customHeight="1" x14ac:dyDescent="0.15"/>
    <row r="32" ht="25" customHeight="1" x14ac:dyDescent="0.15"/>
    <row r="33" ht="30" customHeight="1" x14ac:dyDescent="0.15"/>
    <row r="34" ht="30" customHeight="1" x14ac:dyDescent="0.15"/>
    <row r="35" ht="30" customHeight="1" x14ac:dyDescent="0.15"/>
  </sheetData>
  <dataConsolidate/>
  <mergeCells count="28">
    <mergeCell ref="J5:J6"/>
    <mergeCell ref="K5:K6"/>
    <mergeCell ref="F7:F8"/>
    <mergeCell ref="G7:G8"/>
    <mergeCell ref="H7:H8"/>
    <mergeCell ref="I7:I8"/>
    <mergeCell ref="J7:J8"/>
    <mergeCell ref="F3:F4"/>
    <mergeCell ref="F5:F6"/>
    <mergeCell ref="G5:G6"/>
    <mergeCell ref="H5:H6"/>
    <mergeCell ref="I5:I6"/>
    <mergeCell ref="B1:K1"/>
    <mergeCell ref="K11:K12"/>
    <mergeCell ref="F9:F10"/>
    <mergeCell ref="G9:G10"/>
    <mergeCell ref="H9:H10"/>
    <mergeCell ref="I9:I10"/>
    <mergeCell ref="J9:J10"/>
    <mergeCell ref="K9:K10"/>
    <mergeCell ref="F11:F12"/>
    <mergeCell ref="G11:G12"/>
    <mergeCell ref="H11:H12"/>
    <mergeCell ref="I11:I12"/>
    <mergeCell ref="J11:J12"/>
    <mergeCell ref="K7:K8"/>
    <mergeCell ref="B2:D2"/>
    <mergeCell ref="F2:K2"/>
  </mergeCells>
  <conditionalFormatting sqref="I5 I7 I9">
    <cfRule type="iconSet" priority="9">
      <iconSet iconSet="3Arrows">
        <cfvo type="percent" val="0"/>
        <cfvo type="num" val="0"/>
        <cfvo type="num" val="0.01"/>
      </iconSet>
    </cfRule>
    <cfRule type="iconSet" priority="10">
      <iconSet iconSet="5Arrows">
        <cfvo type="percent" val="0"/>
        <cfvo type="num" val="-0.2"/>
        <cfvo type="num" val="-0.05"/>
        <cfvo type="num" val="0.05"/>
        <cfvo type="num" val="0.2"/>
      </iconSet>
    </cfRule>
    <cfRule type="iconSet" priority="11">
      <iconSet iconSet="5Arrows">
        <cfvo type="percent" val="0"/>
        <cfvo type="percent" val="20"/>
        <cfvo type="percent" val="40"/>
        <cfvo type="percent" val="60"/>
        <cfvo type="percent" val="80"/>
      </iconSet>
    </cfRule>
    <cfRule type="iconSet" priority="12">
      <iconSet showValue="0">
        <cfvo type="percent" val="0"/>
        <cfvo type="num" val="0.9"/>
        <cfvo type="num" val="0.95"/>
      </iconSet>
    </cfRule>
    <cfRule type="iconSet" priority="13">
      <iconSet>
        <cfvo type="percent" val="0"/>
        <cfvo type="percent" val="33"/>
        <cfvo type="percent" val="67"/>
      </iconSet>
    </cfRule>
    <cfRule type="iconSet" priority="14">
      <iconSet iconSet="4Arrows">
        <cfvo type="percent" val="0"/>
        <cfvo type="percent" val="25"/>
        <cfvo type="percent" val="50"/>
        <cfvo type="percentile" val="75"/>
      </iconSet>
    </cfRule>
    <cfRule type="iconSet" priority="15">
      <iconSet iconSet="5Arrows">
        <cfvo type="percent" val="0"/>
        <cfvo type="percent" val="20"/>
        <cfvo type="percent" val="40"/>
        <cfvo type="percent" val="60"/>
        <cfvo type="percent" val="80"/>
      </iconSet>
    </cfRule>
    <cfRule type="iconSet" priority="16">
      <iconSet iconSet="3Arrows">
        <cfvo type="percent" val="0"/>
        <cfvo type="percent" val="33"/>
        <cfvo type="percent" val="67"/>
      </iconSet>
    </cfRule>
  </conditionalFormatting>
  <conditionalFormatting sqref="I11">
    <cfRule type="iconSet" priority="1">
      <iconSet iconSet="3Arrows">
        <cfvo type="percent" val="0"/>
        <cfvo type="num" val="0"/>
        <cfvo type="num" val="0.01"/>
      </iconSet>
    </cfRule>
    <cfRule type="iconSet" priority="2">
      <iconSet iconSet="5Arrows">
        <cfvo type="percent" val="0"/>
        <cfvo type="num" val="-0.2"/>
        <cfvo type="num" val="-0.05"/>
        <cfvo type="num" val="0.05"/>
        <cfvo type="num" val="0.2"/>
      </iconSet>
    </cfRule>
    <cfRule type="iconSet" priority="3">
      <iconSet iconSet="5Arrows">
        <cfvo type="percent" val="0"/>
        <cfvo type="percent" val="20"/>
        <cfvo type="percent" val="40"/>
        <cfvo type="percent" val="60"/>
        <cfvo type="percent" val="80"/>
      </iconSet>
    </cfRule>
    <cfRule type="iconSet" priority="4">
      <iconSet showValue="0">
        <cfvo type="percent" val="0"/>
        <cfvo type="num" val="0.9"/>
        <cfvo type="num" val="0.95"/>
      </iconSet>
    </cfRule>
    <cfRule type="iconSet" priority="5">
      <iconSet>
        <cfvo type="percent" val="0"/>
        <cfvo type="percent" val="33"/>
        <cfvo type="percent" val="67"/>
      </iconSet>
    </cfRule>
    <cfRule type="iconSet" priority="6">
      <iconSet iconSet="4Arrows">
        <cfvo type="percent" val="0"/>
        <cfvo type="percent" val="25"/>
        <cfvo type="percent" val="50"/>
        <cfvo type="percentile" val="75"/>
      </iconSet>
    </cfRule>
    <cfRule type="iconSet" priority="7">
      <iconSet iconSet="5Arrows">
        <cfvo type="percent" val="0"/>
        <cfvo type="percent" val="20"/>
        <cfvo type="percent" val="40"/>
        <cfvo type="percent" val="60"/>
        <cfvo type="percent" val="80"/>
      </iconSet>
    </cfRule>
    <cfRule type="iconSet" priority="8">
      <iconSet iconSet="3Arrows">
        <cfvo type="percent" val="0"/>
        <cfvo type="percent" val="33"/>
        <cfvo type="percent" val="67"/>
      </iconSet>
    </cfRule>
  </conditionalFormatting>
  <conditionalFormatting sqref="K7 K5">
    <cfRule type="dataBar" priority="43">
      <dataBar>
        <cfvo type="min"/>
        <cfvo type="max"/>
        <color rgb="FF638EC6"/>
      </dataBar>
      <extLst>
        <ext xmlns:x14="http://schemas.microsoft.com/office/spreadsheetml/2009/9/main" uri="{B025F937-C7B1-47D3-B67F-A62EFF666E3E}">
          <x14:id>{DFB4E3C7-C8D6-1B4C-B5B0-9A86C4FA35E4}</x14:id>
        </ext>
      </extLst>
    </cfRule>
  </conditionalFormatting>
  <conditionalFormatting sqref="K9">
    <cfRule type="dataBar" priority="42">
      <dataBar>
        <cfvo type="min"/>
        <cfvo type="max"/>
        <color rgb="FF638EC6"/>
      </dataBar>
      <extLst>
        <ext xmlns:x14="http://schemas.microsoft.com/office/spreadsheetml/2009/9/main" uri="{B025F937-C7B1-47D3-B67F-A62EFF666E3E}">
          <x14:id>{9854F9D8-D821-9945-A413-6E3862CED3F9}</x14:id>
        </ext>
      </extLst>
    </cfRule>
  </conditionalFormatting>
  <conditionalFormatting sqref="K11">
    <cfRule type="dataBar" priority="41">
      <dataBar>
        <cfvo type="min"/>
        <cfvo type="max"/>
        <color rgb="FF638EC6"/>
      </dataBar>
      <extLst>
        <ext xmlns:x14="http://schemas.microsoft.com/office/spreadsheetml/2009/9/main" uri="{B025F937-C7B1-47D3-B67F-A62EFF666E3E}">
          <x14:id>{EE4481CB-9800-7B40-9A49-26DB090C9FF4}</x14:id>
        </ext>
      </extLst>
    </cfRule>
  </conditionalFormatting>
  <pageMargins left="0.75" right="0.75" top="1" bottom="1" header="0.5" footer="0.5"/>
  <pageSetup scale="75" orientation="landscape" r:id="rId1"/>
  <headerFooter alignWithMargins="0"/>
  <drawing r:id="rId2"/>
  <extLst>
    <ext xmlns:x14="http://schemas.microsoft.com/office/spreadsheetml/2009/9/main" uri="{78C0D931-6437-407d-A8EE-F0AAD7539E65}">
      <x14:conditionalFormattings>
        <x14:conditionalFormatting xmlns:xm="http://schemas.microsoft.com/office/excel/2006/main">
          <x14:cfRule type="dataBar" id="{DFB4E3C7-C8D6-1B4C-B5B0-9A86C4FA35E4}">
            <x14:dataBar minLength="0" maxLength="100" negativeBarColorSameAsPositive="1" axisPosition="none">
              <x14:cfvo type="min"/>
              <x14:cfvo type="max"/>
            </x14:dataBar>
          </x14:cfRule>
          <xm:sqref>K7 K5</xm:sqref>
        </x14:conditionalFormatting>
        <x14:conditionalFormatting xmlns:xm="http://schemas.microsoft.com/office/excel/2006/main">
          <x14:cfRule type="dataBar" id="{9854F9D8-D821-9945-A413-6E3862CED3F9}">
            <x14:dataBar minLength="0" maxLength="100" negativeBarColorSameAsPositive="1" axisPosition="none">
              <x14:cfvo type="min"/>
              <x14:cfvo type="max"/>
            </x14:dataBar>
          </x14:cfRule>
          <xm:sqref>K9</xm:sqref>
        </x14:conditionalFormatting>
        <x14:conditionalFormatting xmlns:xm="http://schemas.microsoft.com/office/excel/2006/main">
          <x14:cfRule type="dataBar" id="{EE4481CB-9800-7B40-9A49-26DB090C9FF4}">
            <x14:dataBar minLength="0" maxLength="100" negativeBarColorSameAsPositive="1" axisPosition="none">
              <x14:cfvo type="min"/>
              <x14:cfvo type="max"/>
            </x14:dataBar>
          </x14:cfRule>
          <xm:sqref>K11</xm:sqref>
        </x14:conditionalFormatting>
      </x14:conditionalFormattings>
    </ext>
    <ext xmlns:x14="http://schemas.microsoft.com/office/spreadsheetml/2009/9/main" uri="{05C60535-1F16-4fd2-B633-F4F36F0B64E0}">
      <x14:sparklineGroups xmlns:xm="http://schemas.microsoft.com/office/excel/2006/main">
        <x14:sparklineGroup manualMax="0" manualMin="0" displayEmptyCellsAs="gap" high="1" xr2:uid="{585FFA05-0767-144B-9373-528804F74F67}">
          <x14:colorSeries rgb="FF376092"/>
          <x14:colorNegative rgb="FFD00000"/>
          <x14:colorAxis rgb="FF000000"/>
          <x14:colorMarkers rgb="FFD00000"/>
          <x14:colorFirst rgb="FFD00000"/>
          <x14:colorLast rgb="FFD00000"/>
          <x14:colorHigh rgb="FFD00000"/>
          <x14:colorLow rgb="FFD00000"/>
          <x14:sparklines>
            <x14:sparkline>
              <xm:f>data!K213:K224</xm:f>
              <xm:sqref>K11</xm:sqref>
            </x14:sparkline>
            <x14:sparkline>
              <xm:f>data!K213:K224</xm:f>
              <xm:sqref>K12</xm:sqref>
            </x14:sparkline>
          </x14:sparklines>
        </x14:sparklineGroup>
        <x14:sparklineGroup manualMax="0" manualMin="0" displayEmptyCellsAs="gap" high="1" xr2:uid="{00000000-0003-0000-0B00-00002D000000}">
          <x14:colorSeries rgb="FF376092"/>
          <x14:colorNegative rgb="FFD00000"/>
          <x14:colorAxis rgb="FF000000"/>
          <x14:colorMarkers rgb="FFD00000"/>
          <x14:colorFirst rgb="FFD00000"/>
          <x14:colorLast rgb="FFD00000"/>
          <x14:colorHigh rgb="FFD00000"/>
          <x14:colorLow rgb="FFD00000"/>
          <x14:sparklines>
            <x14:sparkline>
              <xm:f>data!K106:K117</xm:f>
              <xm:sqref>K9</xm:sqref>
            </x14:sparkline>
          </x14:sparklines>
        </x14:sparklineGroup>
        <x14:sparklineGroup manualMax="0" manualMin="0" displayEmptyCellsAs="gap" high="1" xr2:uid="{00000000-0003-0000-0B00-00002E000000}">
          <x14:colorSeries rgb="FF376092"/>
          <x14:colorNegative rgb="FFD00000"/>
          <x14:colorAxis rgb="FF000000"/>
          <x14:colorMarkers rgb="FFD00000"/>
          <x14:colorFirst rgb="FFD00000"/>
          <x14:colorLast rgb="FFD00000"/>
          <x14:colorHigh rgb="FFD00000"/>
          <x14:colorLow rgb="FFD00000"/>
          <x14:sparklines>
            <x14:sparkline>
              <xm:f>data!K3:K14</xm:f>
              <xm:sqref>K5</xm:sqref>
            </x14:sparkline>
          </x14:sparklines>
        </x14:sparklineGroup>
        <x14:sparklineGroup manualMax="0" manualMin="0" displayEmptyCellsAs="gap" high="1" xr2:uid="{00000000-0003-0000-0B00-00002F000000}">
          <x14:colorSeries rgb="FF376092"/>
          <x14:colorNegative rgb="FFD00000"/>
          <x14:colorAxis rgb="FF000000"/>
          <x14:colorMarkers rgb="FFD00000"/>
          <x14:colorFirst rgb="FFD00000"/>
          <x14:colorLast rgb="FFD00000"/>
          <x14:colorHigh rgb="FFD00000"/>
          <x14:colorLow rgb="FFD00000"/>
          <x14:sparklines>
            <x14:sparkline>
              <xm:f>data!K55:K66</xm:f>
              <xm:sqref>K7</xm:sqref>
            </x14:sparkline>
          </x14:sparklines>
        </x14:sparklineGroup>
      </x14:sparklineGroup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0"/>
  </sheetPr>
  <dimension ref="A1:K37"/>
  <sheetViews>
    <sheetView zoomScale="84" zoomScaleNormal="84" zoomScalePageLayoutView="90" workbookViewId="0">
      <selection activeCell="B1" sqref="B1:K32"/>
    </sheetView>
  </sheetViews>
  <sheetFormatPr baseColWidth="10" defaultColWidth="11.5" defaultRowHeight="13" x14ac:dyDescent="0.15"/>
  <cols>
    <col min="1" max="1" width="7.1640625" customWidth="1"/>
    <col min="2" max="2" width="62.1640625" customWidth="1"/>
    <col min="3" max="3" width="20.6640625" customWidth="1"/>
    <col min="4" max="4" width="18.6640625" customWidth="1"/>
    <col min="5" max="5" width="3.5" customWidth="1"/>
    <col min="6" max="6" width="15.1640625" customWidth="1"/>
    <col min="7" max="7" width="13" customWidth="1"/>
    <col min="8" max="8" width="1.6640625" customWidth="1"/>
    <col min="9" max="9" width="14.5" customWidth="1"/>
    <col min="10" max="10" width="15" customWidth="1"/>
    <col min="11" max="11" width="29.5" customWidth="1"/>
    <col min="12" max="12" width="19.83203125" customWidth="1"/>
    <col min="13" max="13" width="22.1640625" customWidth="1"/>
  </cols>
  <sheetData>
    <row r="1" spans="1:11" ht="52" customHeight="1" thickBot="1" x14ac:dyDescent="0.2">
      <c r="A1" s="7"/>
      <c r="B1" s="329" t="str">
        <f>CONCATENATE("PO.DAAC Summary for ", Summary_data!X1)</f>
        <v>PO.DAAC Summary for FY 2025</v>
      </c>
      <c r="C1" s="329"/>
      <c r="D1" s="329"/>
      <c r="E1" s="329"/>
      <c r="F1" s="329"/>
      <c r="G1" s="329"/>
      <c r="H1" s="329"/>
      <c r="I1" s="329"/>
      <c r="J1" s="329"/>
      <c r="K1" s="329"/>
    </row>
    <row r="2" spans="1:11" ht="25" customHeight="1" thickBot="1" x14ac:dyDescent="0.2">
      <c r="B2" s="335" t="str">
        <f>Summary_data!Z2</f>
        <v>FY2025 Metrics (Oct 2024 to Sep 2025)</v>
      </c>
      <c r="C2" s="336"/>
      <c r="D2" s="337"/>
      <c r="F2" s="340" t="str">
        <f>CONCATENATE(data!$M$2, " Distribution and User Trends ", Summary_data!W1)</f>
        <v>PO.DAAC Distribution and User Trends (Oct 2024 to Sep 2025)</v>
      </c>
      <c r="G2" s="341"/>
      <c r="H2" s="341"/>
      <c r="I2" s="342"/>
      <c r="J2" s="342"/>
      <c r="K2" s="343"/>
    </row>
    <row r="3" spans="1:11" ht="18" customHeight="1" thickBot="1" x14ac:dyDescent="0.2">
      <c r="B3" s="37" t="s">
        <v>64</v>
      </c>
      <c r="C3" s="37" t="s">
        <v>63</v>
      </c>
      <c r="D3" s="37" t="str">
        <f>Summary_data!$C$15</f>
        <v>PO.DAAC</v>
      </c>
      <c r="F3" s="344" t="s">
        <v>64</v>
      </c>
      <c r="G3" s="38" t="s">
        <v>11</v>
      </c>
      <c r="H3" s="39"/>
      <c r="I3" s="40" t="s">
        <v>25</v>
      </c>
      <c r="J3" s="40" t="s">
        <v>32</v>
      </c>
      <c r="K3" s="41" t="s">
        <v>26</v>
      </c>
    </row>
    <row r="4" spans="1:11" ht="18" customHeight="1" thickBot="1" x14ac:dyDescent="0.2">
      <c r="B4" s="224" t="s">
        <v>137</v>
      </c>
      <c r="C4" s="53">
        <f>Summary_data!AA13</f>
        <v>18755</v>
      </c>
      <c r="D4" s="55">
        <f>Summary_data!$D$15</f>
        <v>898</v>
      </c>
      <c r="F4" s="345"/>
      <c r="G4" s="42" t="str">
        <f>Summary_data!AE2</f>
        <v>FY2025</v>
      </c>
      <c r="H4" s="43"/>
      <c r="I4" s="44" t="str">
        <f>Summary_data!AF2</f>
        <v>FY2024</v>
      </c>
      <c r="J4" s="43" t="s">
        <v>27</v>
      </c>
      <c r="K4" s="45" t="s">
        <v>28</v>
      </c>
    </row>
    <row r="5" spans="1:11" ht="22" customHeight="1" thickBot="1" x14ac:dyDescent="0.2">
      <c r="B5" s="226" t="s">
        <v>150</v>
      </c>
      <c r="C5" s="53" t="str">
        <f>Summary_data!AA14</f>
        <v>10 M</v>
      </c>
      <c r="D5" s="56">
        <f>Summary_data!I$15</f>
        <v>129277</v>
      </c>
      <c r="F5" s="348" t="s">
        <v>68</v>
      </c>
      <c r="G5" s="358">
        <f>data!$M$15</f>
        <v>163.94438699999998</v>
      </c>
      <c r="H5" s="338"/>
      <c r="I5" s="332">
        <f>(data!$M$15-data!$M$17)/data!$M$17</f>
        <v>3.1842066174032095</v>
      </c>
      <c r="J5" s="339">
        <f>data!$M$16</f>
        <v>13.662032249999998</v>
      </c>
      <c r="K5" s="333"/>
    </row>
    <row r="6" spans="1:11" ht="18" customHeight="1" thickBot="1" x14ac:dyDescent="0.2">
      <c r="B6" s="226" t="s">
        <v>151</v>
      </c>
      <c r="C6" s="53" t="str">
        <f>Summary_data!AA15</f>
        <v>14.9  M</v>
      </c>
      <c r="D6" s="56">
        <f>Summary_data!K$15</f>
        <v>230752</v>
      </c>
      <c r="F6" s="330"/>
      <c r="G6" s="359"/>
      <c r="H6" s="323"/>
      <c r="I6" s="325"/>
      <c r="J6" s="334"/>
      <c r="K6" s="317"/>
    </row>
    <row r="7" spans="1:11" ht="18" customHeight="1" thickBot="1" x14ac:dyDescent="0.2">
      <c r="B7" s="226" t="s">
        <v>0</v>
      </c>
      <c r="C7" s="58" t="str">
        <f>Summary_data!AA16</f>
        <v>160 TB/day</v>
      </c>
      <c r="D7" s="54" t="str">
        <f>CONCATENATE(FIXED(1024*Summary_data!$N$15,1), " GB/day")</f>
        <v>30,760.3 GB/day</v>
      </c>
      <c r="F7" s="319" t="s">
        <v>62</v>
      </c>
      <c r="G7" s="360">
        <f>data!$M$67</f>
        <v>4325.0380257007191</v>
      </c>
      <c r="H7" s="323"/>
      <c r="I7" s="332">
        <f>(data!$M$67-data!$M$69)/data!$M$69</f>
        <v>0.34192945677359787</v>
      </c>
      <c r="J7" s="334">
        <f>data!$M$68</f>
        <v>360.41983547505993</v>
      </c>
      <c r="K7" s="317"/>
    </row>
    <row r="8" spans="1:11" ht="18" customHeight="1" thickBot="1" x14ac:dyDescent="0.2">
      <c r="B8" s="226" t="s">
        <v>152</v>
      </c>
      <c r="C8" s="58" t="str">
        <f>Summary_data!AA17</f>
        <v>178.7 PB</v>
      </c>
      <c r="D8" s="57" t="str">
        <f>CONCATENATE(FIXED(Summary_data!$O$15,1), " TB")</f>
        <v>21,625.8 TB</v>
      </c>
      <c r="F8" s="330"/>
      <c r="G8" s="361"/>
      <c r="H8" s="323"/>
      <c r="I8" s="325"/>
      <c r="J8" s="334"/>
      <c r="K8" s="317"/>
    </row>
    <row r="9" spans="1:11" ht="18" customHeight="1" thickBot="1" x14ac:dyDescent="0.2">
      <c r="B9" s="226" t="s">
        <v>153</v>
      </c>
      <c r="C9" s="53" t="str">
        <f>Summary_data!AA18</f>
        <v>116.2 PB</v>
      </c>
      <c r="D9" s="57" t="str">
        <f>CONCATENATE(FIXED(Summary_data!$U$15,1), " TB")</f>
        <v>20,606.0 TB</v>
      </c>
      <c r="F9" s="319" t="s">
        <v>58</v>
      </c>
      <c r="G9" s="321">
        <f>data!$M$120</f>
        <v>17445</v>
      </c>
      <c r="H9" s="323"/>
      <c r="I9" s="332">
        <f>(data!$M$120-data!$M$121)/data!$M$121</f>
        <v>1.7794632438739789E-2</v>
      </c>
      <c r="J9" s="327">
        <f>data!$M$119</f>
        <v>2489.0833333333335</v>
      </c>
      <c r="K9" s="317"/>
    </row>
    <row r="10" spans="1:11" ht="18" customHeight="1" thickBot="1" x14ac:dyDescent="0.2">
      <c r="B10" s="226" t="s">
        <v>154</v>
      </c>
      <c r="C10" s="53" t="str">
        <f>Summary_data!AA19</f>
        <v>7,799.9 M</v>
      </c>
      <c r="D10" s="56" t="str">
        <f>CONCATENATE(FIXED(Summary_data!$R$15,1), " M")</f>
        <v>163.9 M</v>
      </c>
      <c r="F10" s="330"/>
      <c r="G10" s="357"/>
      <c r="H10" s="323"/>
      <c r="I10" s="325"/>
      <c r="J10" s="327"/>
      <c r="K10" s="317"/>
    </row>
    <row r="11" spans="1:11" ht="18" customHeight="1" thickBot="1" x14ac:dyDescent="0.2">
      <c r="B11" s="226" t="s">
        <v>155</v>
      </c>
      <c r="C11" s="53" t="str">
        <f>Summary_data!AA20</f>
        <v>4,316.1 M</v>
      </c>
      <c r="D11" s="56" t="str">
        <f>CONCATENATE(FIXED(Summary_data!$V$15,1), " M")</f>
        <v>163,944,387.0 M</v>
      </c>
      <c r="E11" s="5"/>
      <c r="F11" s="319" t="s">
        <v>125</v>
      </c>
      <c r="G11" s="321">
        <f>data!$M$227</f>
        <v>131905</v>
      </c>
      <c r="H11" s="323"/>
      <c r="I11" s="325">
        <f>(data!$M$227-data!$M$228)/data!$M$228</f>
        <v>0.93511237603427033</v>
      </c>
      <c r="J11" s="327">
        <f>data!$M$226</f>
        <v>10992.083333333334</v>
      </c>
      <c r="K11" s="317"/>
    </row>
    <row r="12" spans="1:11" ht="18" customHeight="1" thickBot="1" x14ac:dyDescent="0.2">
      <c r="B12" s="226" t="s">
        <v>156</v>
      </c>
      <c r="C12" s="53" t="str">
        <f>Summary_data!AA21</f>
        <v>600 TB/day</v>
      </c>
      <c r="D12" s="56" t="str">
        <f>CONCATENATE(FIXED(1024*Summary_data!$T$15,1), " GB/day")</f>
        <v>12,133.8 GB/day</v>
      </c>
      <c r="F12" s="320"/>
      <c r="G12" s="356"/>
      <c r="H12" s="324"/>
      <c r="I12" s="326"/>
      <c r="J12" s="328"/>
      <c r="K12" s="318"/>
    </row>
    <row r="13" spans="1:11" ht="18" customHeight="1" x14ac:dyDescent="0.15"/>
    <row r="14" spans="1:11" ht="18" customHeight="1" x14ac:dyDescent="0.15"/>
    <row r="15" spans="1:11" ht="18" customHeight="1" x14ac:dyDescent="0.15"/>
    <row r="16" spans="1:11" ht="25" customHeight="1" x14ac:dyDescent="0.15"/>
    <row r="17" ht="25" customHeight="1" x14ac:dyDescent="0.15"/>
    <row r="18" ht="25" customHeight="1" x14ac:dyDescent="0.15"/>
    <row r="19" ht="25" customHeight="1" x14ac:dyDescent="0.15"/>
    <row r="20" ht="25" customHeight="1" x14ac:dyDescent="0.15"/>
    <row r="21" ht="25" customHeight="1" x14ac:dyDescent="0.15"/>
    <row r="22" ht="25" customHeight="1" x14ac:dyDescent="0.15"/>
    <row r="23" ht="25" customHeight="1" x14ac:dyDescent="0.15"/>
    <row r="24" ht="25" customHeight="1" x14ac:dyDescent="0.15"/>
    <row r="25" ht="25" customHeight="1" x14ac:dyDescent="0.15"/>
    <row r="26" ht="25" customHeight="1" x14ac:dyDescent="0.15"/>
    <row r="27" ht="25" customHeight="1" x14ac:dyDescent="0.15"/>
    <row r="28" ht="25" customHeight="1" x14ac:dyDescent="0.15"/>
    <row r="29" ht="25" customHeight="1" x14ac:dyDescent="0.15"/>
    <row r="30" ht="25" customHeight="1" x14ac:dyDescent="0.15"/>
    <row r="31" ht="25" customHeight="1" x14ac:dyDescent="0.15"/>
    <row r="32" ht="25" customHeight="1" x14ac:dyDescent="0.15"/>
    <row r="33" ht="25" customHeight="1" x14ac:dyDescent="0.15"/>
    <row r="34" ht="25" customHeight="1" x14ac:dyDescent="0.15"/>
    <row r="35" ht="30" customHeight="1" x14ac:dyDescent="0.15"/>
    <row r="36" ht="30" customHeight="1" x14ac:dyDescent="0.15"/>
    <row r="37" ht="30" customHeight="1" x14ac:dyDescent="0.15"/>
  </sheetData>
  <dataConsolidate/>
  <mergeCells count="28">
    <mergeCell ref="K5:K6"/>
    <mergeCell ref="F7:F8"/>
    <mergeCell ref="G7:G8"/>
    <mergeCell ref="H7:H8"/>
    <mergeCell ref="I7:I8"/>
    <mergeCell ref="J7:J8"/>
    <mergeCell ref="B1:K1"/>
    <mergeCell ref="F9:F10"/>
    <mergeCell ref="G9:G10"/>
    <mergeCell ref="H9:H10"/>
    <mergeCell ref="I9:I10"/>
    <mergeCell ref="J9:J10"/>
    <mergeCell ref="K9:K10"/>
    <mergeCell ref="K7:K8"/>
    <mergeCell ref="B2:D2"/>
    <mergeCell ref="F2:K2"/>
    <mergeCell ref="F3:F4"/>
    <mergeCell ref="F5:F6"/>
    <mergeCell ref="G5:G6"/>
    <mergeCell ref="H5:H6"/>
    <mergeCell ref="I5:I6"/>
    <mergeCell ref="J5:J6"/>
    <mergeCell ref="K11:K12"/>
    <mergeCell ref="F11:F12"/>
    <mergeCell ref="G11:G12"/>
    <mergeCell ref="H11:H12"/>
    <mergeCell ref="I11:I12"/>
    <mergeCell ref="J11:J12"/>
  </mergeCells>
  <conditionalFormatting sqref="I5 I7 I9">
    <cfRule type="iconSet" priority="292">
      <iconSet iconSet="3Arrows">
        <cfvo type="percent" val="0"/>
        <cfvo type="num" val="0"/>
        <cfvo type="num" val="0.01"/>
      </iconSet>
    </cfRule>
    <cfRule type="iconSet" priority="293">
      <iconSet showValue="0">
        <cfvo type="percent" val="0"/>
        <cfvo type="num" val="0.9"/>
        <cfvo type="num" val="0.95"/>
      </iconSet>
    </cfRule>
    <cfRule type="iconSet" priority="298">
      <iconSet iconSet="5Arrows">
        <cfvo type="percent" val="0"/>
        <cfvo type="percent" val="20"/>
        <cfvo type="percent" val="40"/>
        <cfvo type="percent" val="60"/>
        <cfvo type="percent" val="80"/>
      </iconSet>
    </cfRule>
    <cfRule type="iconSet" priority="299">
      <iconSet>
        <cfvo type="percent" val="0"/>
        <cfvo type="percent" val="33"/>
        <cfvo type="percent" val="67"/>
      </iconSet>
    </cfRule>
    <cfRule type="iconSet" priority="300">
      <iconSet iconSet="4Arrows">
        <cfvo type="percent" val="0"/>
        <cfvo type="percent" val="25"/>
        <cfvo type="percent" val="50"/>
        <cfvo type="percentile" val="75"/>
      </iconSet>
    </cfRule>
    <cfRule type="iconSet" priority="301">
      <iconSet iconSet="5Arrows">
        <cfvo type="percent" val="0"/>
        <cfvo type="percent" val="20"/>
        <cfvo type="percent" val="40"/>
        <cfvo type="percent" val="60"/>
        <cfvo type="percent" val="80"/>
      </iconSet>
    </cfRule>
    <cfRule type="iconSet" priority="302">
      <iconSet iconSet="3Arrows">
        <cfvo type="percent" val="0"/>
        <cfvo type="percent" val="33"/>
        <cfvo type="percent" val="67"/>
      </iconSet>
    </cfRule>
    <cfRule type="iconSet" priority="313">
      <iconSet iconSet="5Arrows">
        <cfvo type="percent" val="0"/>
        <cfvo type="num" val="-0.2"/>
        <cfvo type="num" val="-0.05"/>
        <cfvo type="num" val="0.05"/>
        <cfvo type="num" val="0.2"/>
      </iconSet>
    </cfRule>
  </conditionalFormatting>
  <conditionalFormatting sqref="I11">
    <cfRule type="iconSet" priority="1">
      <iconSet iconSet="3Arrows">
        <cfvo type="percent" val="0"/>
        <cfvo type="num" val="0"/>
        <cfvo type="num" val="0.01"/>
      </iconSet>
    </cfRule>
    <cfRule type="iconSet" priority="2">
      <iconSet iconSet="5Arrows">
        <cfvo type="percent" val="0"/>
        <cfvo type="num" val="-0.2"/>
        <cfvo type="num" val="-0.05"/>
        <cfvo type="num" val="0.05"/>
        <cfvo type="num" val="0.2"/>
      </iconSet>
    </cfRule>
    <cfRule type="iconSet" priority="3">
      <iconSet iconSet="5Arrows">
        <cfvo type="percent" val="0"/>
        <cfvo type="percent" val="20"/>
        <cfvo type="percent" val="40"/>
        <cfvo type="percent" val="60"/>
        <cfvo type="percent" val="80"/>
      </iconSet>
    </cfRule>
    <cfRule type="iconSet" priority="4">
      <iconSet showValue="0">
        <cfvo type="percent" val="0"/>
        <cfvo type="num" val="0.9"/>
        <cfvo type="num" val="0.95"/>
      </iconSet>
    </cfRule>
    <cfRule type="iconSet" priority="5">
      <iconSet>
        <cfvo type="percent" val="0"/>
        <cfvo type="percent" val="33"/>
        <cfvo type="percent" val="67"/>
      </iconSet>
    </cfRule>
    <cfRule type="iconSet" priority="6">
      <iconSet iconSet="4Arrows">
        <cfvo type="percent" val="0"/>
        <cfvo type="percent" val="25"/>
        <cfvo type="percent" val="50"/>
        <cfvo type="percentile" val="75"/>
      </iconSet>
    </cfRule>
    <cfRule type="iconSet" priority="7">
      <iconSet iconSet="5Arrows">
        <cfvo type="percent" val="0"/>
        <cfvo type="percent" val="20"/>
        <cfvo type="percent" val="40"/>
        <cfvo type="percent" val="60"/>
        <cfvo type="percent" val="80"/>
      </iconSet>
    </cfRule>
    <cfRule type="iconSet" priority="8">
      <iconSet iconSet="3Arrows">
        <cfvo type="percent" val="0"/>
        <cfvo type="percent" val="33"/>
        <cfvo type="percent" val="67"/>
      </iconSet>
    </cfRule>
  </conditionalFormatting>
  <conditionalFormatting sqref="K5 K7">
    <cfRule type="dataBar" priority="44">
      <dataBar>
        <cfvo type="min"/>
        <cfvo type="max"/>
        <color rgb="FF638EC6"/>
      </dataBar>
      <extLst>
        <ext xmlns:x14="http://schemas.microsoft.com/office/spreadsheetml/2009/9/main" uri="{B025F937-C7B1-47D3-B67F-A62EFF666E3E}">
          <x14:id>{0310F14A-84F3-DF4A-A74A-75E76026E706}</x14:id>
        </ext>
      </extLst>
    </cfRule>
  </conditionalFormatting>
  <conditionalFormatting sqref="K9">
    <cfRule type="dataBar" priority="43">
      <dataBar>
        <cfvo type="min"/>
        <cfvo type="max"/>
        <color rgb="FF638EC6"/>
      </dataBar>
      <extLst>
        <ext xmlns:x14="http://schemas.microsoft.com/office/spreadsheetml/2009/9/main" uri="{B025F937-C7B1-47D3-B67F-A62EFF666E3E}">
          <x14:id>{ED353B51-7CDA-1144-B638-4D892ACC8C87}</x14:id>
        </ext>
      </extLst>
    </cfRule>
  </conditionalFormatting>
  <conditionalFormatting sqref="K11">
    <cfRule type="dataBar" priority="9">
      <dataBar>
        <cfvo type="min"/>
        <cfvo type="max"/>
        <color rgb="FF638EC6"/>
      </dataBar>
      <extLst>
        <ext xmlns:x14="http://schemas.microsoft.com/office/spreadsheetml/2009/9/main" uri="{B025F937-C7B1-47D3-B67F-A62EFF666E3E}">
          <x14:id>{6E50A50C-B1BD-8D4B-86FB-B7C37FFB3A74}</x14:id>
        </ext>
      </extLst>
    </cfRule>
  </conditionalFormatting>
  <pageMargins left="0.75" right="0.75" top="1" bottom="1" header="0.5" footer="0.5"/>
  <pageSetup scale="75" orientation="landscape" r:id="rId1"/>
  <headerFooter alignWithMargins="0"/>
  <drawing r:id="rId2"/>
  <extLst>
    <ext xmlns:x14="http://schemas.microsoft.com/office/spreadsheetml/2009/9/main" uri="{78C0D931-6437-407d-A8EE-F0AAD7539E65}">
      <x14:conditionalFormattings>
        <x14:conditionalFormatting xmlns:xm="http://schemas.microsoft.com/office/excel/2006/main">
          <x14:cfRule type="dataBar" id="{0310F14A-84F3-DF4A-A74A-75E76026E706}">
            <x14:dataBar minLength="0" maxLength="100" negativeBarColorSameAsPositive="1" axisPosition="none">
              <x14:cfvo type="min"/>
              <x14:cfvo type="max"/>
            </x14:dataBar>
          </x14:cfRule>
          <xm:sqref>K5 K7</xm:sqref>
        </x14:conditionalFormatting>
        <x14:conditionalFormatting xmlns:xm="http://schemas.microsoft.com/office/excel/2006/main">
          <x14:cfRule type="dataBar" id="{ED353B51-7CDA-1144-B638-4D892ACC8C87}">
            <x14:dataBar minLength="0" maxLength="100" negativeBarColorSameAsPositive="1" axisPosition="none">
              <x14:cfvo type="min"/>
              <x14:cfvo type="max"/>
            </x14:dataBar>
          </x14:cfRule>
          <xm:sqref>K9</xm:sqref>
        </x14:conditionalFormatting>
        <x14:conditionalFormatting xmlns:xm="http://schemas.microsoft.com/office/excel/2006/main">
          <x14:cfRule type="dataBar" id="{6E50A50C-B1BD-8D4B-86FB-B7C37FFB3A74}">
            <x14:dataBar minLength="0" maxLength="100" negativeBarColorSameAsPositive="1" axisPosition="none">
              <x14:cfvo type="min"/>
              <x14:cfvo type="max"/>
            </x14:dataBar>
          </x14:cfRule>
          <xm:sqref>K11</xm:sqref>
        </x14:conditionalFormatting>
      </x14:conditionalFormattings>
    </ext>
    <ext xmlns:x14="http://schemas.microsoft.com/office/spreadsheetml/2009/9/main" uri="{05C60535-1F16-4fd2-B633-F4F36F0B64E0}">
      <x14:sparklineGroups xmlns:xm="http://schemas.microsoft.com/office/excel/2006/main">
        <x14:sparklineGroup manualMax="0" manualMin="0" displayEmptyCellsAs="gap" high="1" xr2:uid="{00000000-0003-0000-0C00-000034000000}">
          <x14:colorSeries rgb="FF376092"/>
          <x14:colorNegative rgb="FFD00000"/>
          <x14:colorAxis rgb="FF000000"/>
          <x14:colorMarkers rgb="FFD00000"/>
          <x14:colorFirst rgb="FFD00000"/>
          <x14:colorLast rgb="FFD00000"/>
          <x14:colorHigh rgb="FFD00000"/>
          <x14:colorLow rgb="FFD00000"/>
          <x14:sparklines>
            <x14:sparkline>
              <xm:f>data!M213:M224</xm:f>
              <xm:sqref>K11</xm:sqref>
            </x14:sparkline>
          </x14:sparklines>
        </x14:sparklineGroup>
        <x14:sparklineGroup manualMax="0" manualMin="0" displayEmptyCellsAs="gap" high="1" xr2:uid="{00000000-0003-0000-0C00-000030000000}">
          <x14:colorSeries rgb="FF376092"/>
          <x14:colorNegative rgb="FFD00000"/>
          <x14:colorAxis rgb="FF000000"/>
          <x14:colorMarkers rgb="FFD00000"/>
          <x14:colorFirst rgb="FFD00000"/>
          <x14:colorLast rgb="FFD00000"/>
          <x14:colorHigh rgb="FFD00000"/>
          <x14:colorLow rgb="FFD00000"/>
          <x14:sparklines>
            <x14:sparkline>
              <xm:f>data!M55:M66</xm:f>
              <xm:sqref>K7</xm:sqref>
            </x14:sparkline>
          </x14:sparklines>
        </x14:sparklineGroup>
        <x14:sparklineGroup manualMax="0" manualMin="0" displayEmptyCellsAs="gap" high="1" xr2:uid="{00000000-0003-0000-0C00-000031000000}">
          <x14:colorSeries rgb="FF376092"/>
          <x14:colorNegative rgb="FFD00000"/>
          <x14:colorAxis rgb="FF000000"/>
          <x14:colorMarkers rgb="FFD00000"/>
          <x14:colorFirst rgb="FFD00000"/>
          <x14:colorLast rgb="FFD00000"/>
          <x14:colorHigh rgb="FFD00000"/>
          <x14:colorLow rgb="FFD00000"/>
          <x14:sparklines>
            <x14:sparkline>
              <xm:f>data!M3:M14</xm:f>
              <xm:sqref>K5</xm:sqref>
            </x14:sparkline>
          </x14:sparklines>
        </x14:sparklineGroup>
        <x14:sparklineGroup manualMax="0" manualMin="0" displayEmptyCellsAs="gap" high="1" xr2:uid="{00000000-0003-0000-0C00-000032000000}">
          <x14:colorSeries rgb="FF376092"/>
          <x14:colorNegative rgb="FFD00000"/>
          <x14:colorAxis rgb="FF000000"/>
          <x14:colorMarkers rgb="FFD00000"/>
          <x14:colorFirst rgb="FFD00000"/>
          <x14:colorLast rgb="FFD00000"/>
          <x14:colorHigh rgb="FFD00000"/>
          <x14:colorLow rgb="FFD00000"/>
          <x14:sparklines>
            <x14:sparkline>
              <xm:f>data!M106:M117</xm:f>
              <xm:sqref>K9</xm:sqref>
            </x14:sparkline>
          </x14:sparklines>
        </x14:sparklineGroup>
      </x14:sparklineGroup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0"/>
  </sheetPr>
  <dimension ref="A1:K37"/>
  <sheetViews>
    <sheetView zoomScale="89" zoomScaleNormal="89" zoomScalePageLayoutView="90" workbookViewId="0">
      <selection activeCell="C12" sqref="C12"/>
    </sheetView>
  </sheetViews>
  <sheetFormatPr baseColWidth="10" defaultColWidth="11.5" defaultRowHeight="13" x14ac:dyDescent="0.15"/>
  <cols>
    <col min="1" max="1" width="7.1640625" customWidth="1"/>
    <col min="2" max="2" width="63.5" customWidth="1"/>
    <col min="3" max="3" width="20.6640625" customWidth="1"/>
    <col min="4" max="4" width="18.6640625" customWidth="1"/>
    <col min="5" max="5" width="3.5" customWidth="1"/>
    <col min="6" max="6" width="15.1640625" customWidth="1"/>
    <col min="7" max="7" width="13" customWidth="1"/>
    <col min="8" max="8" width="1.6640625" customWidth="1"/>
    <col min="9" max="9" width="14.5" customWidth="1"/>
    <col min="10" max="10" width="15" customWidth="1"/>
    <col min="11" max="11" width="29.5" customWidth="1"/>
    <col min="12" max="12" width="19.83203125" customWidth="1"/>
    <col min="13" max="13" width="22.1640625" customWidth="1"/>
  </cols>
  <sheetData>
    <row r="1" spans="1:11" ht="52" customHeight="1" thickBot="1" x14ac:dyDescent="0.2">
      <c r="A1" s="7"/>
      <c r="B1" s="329" t="str">
        <f>CONCATENATE("SEDAC Summary for ", Summary_data!X1)</f>
        <v>SEDAC Summary for FY 2025</v>
      </c>
      <c r="C1" s="329"/>
      <c r="D1" s="329"/>
      <c r="E1" s="329"/>
      <c r="F1" s="329"/>
      <c r="G1" s="329"/>
      <c r="H1" s="329"/>
      <c r="I1" s="329"/>
      <c r="J1" s="329"/>
      <c r="K1" s="329"/>
    </row>
    <row r="2" spans="1:11" ht="25" customHeight="1" thickBot="1" x14ac:dyDescent="0.2">
      <c r="B2" s="335" t="str">
        <f>Summary_data!Z2</f>
        <v>FY2025 Metrics (Oct 2024 to Sep 2025)</v>
      </c>
      <c r="C2" s="336"/>
      <c r="D2" s="337"/>
      <c r="F2" s="340" t="str">
        <f>CONCATENATE(data!$N$2, " Distribution and User Trends ", Summary_data!W1)</f>
        <v>SEDAC Distribution and User Trends (Oct 2024 to Sep 2025)</v>
      </c>
      <c r="G2" s="341"/>
      <c r="H2" s="341"/>
      <c r="I2" s="342"/>
      <c r="J2" s="342"/>
      <c r="K2" s="343"/>
    </row>
    <row r="3" spans="1:11" ht="18" customHeight="1" thickBot="1" x14ac:dyDescent="0.2">
      <c r="B3" s="37" t="s">
        <v>64</v>
      </c>
      <c r="C3" s="37" t="s">
        <v>63</v>
      </c>
      <c r="D3" s="37" t="str">
        <f>Summary_data!$C$16</f>
        <v>SEDAC</v>
      </c>
      <c r="F3" s="344" t="s">
        <v>64</v>
      </c>
      <c r="G3" s="38" t="s">
        <v>11</v>
      </c>
      <c r="H3" s="39"/>
      <c r="I3" s="40" t="s">
        <v>25</v>
      </c>
      <c r="J3" s="40" t="s">
        <v>32</v>
      </c>
      <c r="K3" s="41" t="s">
        <v>26</v>
      </c>
    </row>
    <row r="4" spans="1:11" ht="18" customHeight="1" thickBot="1" x14ac:dyDescent="0.2">
      <c r="B4" s="224" t="s">
        <v>137</v>
      </c>
      <c r="C4" s="53">
        <f>Summary_data!AA13</f>
        <v>18755</v>
      </c>
      <c r="D4" s="55">
        <f>Summary_data!$D$16</f>
        <v>600</v>
      </c>
      <c r="F4" s="345"/>
      <c r="G4" s="42" t="str">
        <f>Summary_data!AE2</f>
        <v>FY2025</v>
      </c>
      <c r="H4" s="43"/>
      <c r="I4" s="44" t="str">
        <f>Summary_data!AF2</f>
        <v>FY2024</v>
      </c>
      <c r="J4" s="43" t="s">
        <v>27</v>
      </c>
      <c r="K4" s="45" t="s">
        <v>28</v>
      </c>
    </row>
    <row r="5" spans="1:11" ht="23" customHeight="1" thickBot="1" x14ac:dyDescent="0.2">
      <c r="B5" s="226" t="s">
        <v>150</v>
      </c>
      <c r="C5" s="53" t="str">
        <f>Summary_data!AA14</f>
        <v>10 M</v>
      </c>
      <c r="D5" s="56">
        <f>Summary_data!I$16</f>
        <v>196517</v>
      </c>
      <c r="F5" s="348" t="s">
        <v>68</v>
      </c>
      <c r="G5" s="358">
        <f>data!$N$15</f>
        <v>1.294082</v>
      </c>
      <c r="H5" s="338"/>
      <c r="I5" s="332">
        <f>(data!$N$15-data!$N$17)/data!$N$17</f>
        <v>-0.26400854469471374</v>
      </c>
      <c r="J5" s="339">
        <f>data!$N$16</f>
        <v>0.10784016666666667</v>
      </c>
      <c r="K5" s="333"/>
    </row>
    <row r="6" spans="1:11" ht="18" customHeight="1" thickBot="1" x14ac:dyDescent="0.2">
      <c r="B6" s="226" t="s">
        <v>151</v>
      </c>
      <c r="C6" s="53" t="str">
        <f>Summary_data!AA15</f>
        <v>14.9  M</v>
      </c>
      <c r="D6" s="56">
        <f>Summary_data!K$16</f>
        <v>122313</v>
      </c>
      <c r="F6" s="330"/>
      <c r="G6" s="359"/>
      <c r="H6" s="323"/>
      <c r="I6" s="325"/>
      <c r="J6" s="334"/>
      <c r="K6" s="317"/>
    </row>
    <row r="7" spans="1:11" ht="18" customHeight="1" thickBot="1" x14ac:dyDescent="0.2">
      <c r="B7" s="226" t="s">
        <v>0</v>
      </c>
      <c r="C7" s="58" t="str">
        <f>Summary_data!AA16</f>
        <v>160 TB/day</v>
      </c>
      <c r="D7" s="54" t="str">
        <f>CONCATENATE(FIXED(1024*Summary_data!$N$16,2), " GB/day")</f>
        <v>0.02 GB/day</v>
      </c>
      <c r="F7" s="319" t="s">
        <v>62</v>
      </c>
      <c r="G7" s="360">
        <f>data!$N$67</f>
        <v>27.406947322416215</v>
      </c>
      <c r="H7" s="323"/>
      <c r="I7" s="332">
        <f>(data!$N$67-data!$N$69)/data!$N$69</f>
        <v>-0.46400657943328094</v>
      </c>
      <c r="J7" s="334">
        <f>data!$N$68</f>
        <v>2.2839122768680178</v>
      </c>
      <c r="K7" s="317"/>
    </row>
    <row r="8" spans="1:11" ht="18" customHeight="1" thickBot="1" x14ac:dyDescent="0.2">
      <c r="B8" s="226" t="s">
        <v>152</v>
      </c>
      <c r="C8" s="58" t="str">
        <f>Summary_data!AA17</f>
        <v>178.7 PB</v>
      </c>
      <c r="D8" s="57" t="str">
        <f>CONCATENATE(FIXED(Summary_data!$O$16,1), " TB")</f>
        <v>15.9 TB</v>
      </c>
      <c r="F8" s="330"/>
      <c r="G8" s="361"/>
      <c r="H8" s="323"/>
      <c r="I8" s="325"/>
      <c r="J8" s="334"/>
      <c r="K8" s="317"/>
    </row>
    <row r="9" spans="1:11" ht="18" customHeight="1" thickBot="1" x14ac:dyDescent="0.2">
      <c r="B9" s="226" t="s">
        <v>153</v>
      </c>
      <c r="C9" s="53" t="str">
        <f>Summary_data!AA18</f>
        <v>116.2 PB</v>
      </c>
      <c r="D9" s="56"/>
      <c r="F9" s="319" t="s">
        <v>58</v>
      </c>
      <c r="G9" s="321">
        <f>data!$N$120</f>
        <v>112983</v>
      </c>
      <c r="H9" s="323"/>
      <c r="I9" s="332">
        <f>(data!$N$120-data!$N$121)/data!$N$121</f>
        <v>-0.41669635251297144</v>
      </c>
      <c r="J9" s="327">
        <f>data!$N$119</f>
        <v>11770.083333333334</v>
      </c>
      <c r="K9" s="317"/>
    </row>
    <row r="10" spans="1:11" ht="18" customHeight="1" thickBot="1" x14ac:dyDescent="0.2">
      <c r="B10" s="226" t="s">
        <v>154</v>
      </c>
      <c r="C10" s="53" t="str">
        <f>Summary_data!AA19</f>
        <v>7,799.9 M</v>
      </c>
      <c r="D10" s="56" t="str">
        <f>CONCATENATE(FIXED(Summary_data!$R$16,1), " M")</f>
        <v>1.3 M</v>
      </c>
      <c r="F10" s="330"/>
      <c r="G10" s="357"/>
      <c r="H10" s="323"/>
      <c r="I10" s="325"/>
      <c r="J10" s="327"/>
      <c r="K10" s="317"/>
    </row>
    <row r="11" spans="1:11" ht="18" customHeight="1" thickBot="1" x14ac:dyDescent="0.2">
      <c r="B11" s="226" t="s">
        <v>155</v>
      </c>
      <c r="C11" s="53" t="str">
        <f>Summary_data!AA20</f>
        <v>4,316.1 M</v>
      </c>
      <c r="D11" s="56"/>
      <c r="E11" s="5"/>
      <c r="F11" s="319" t="s">
        <v>125</v>
      </c>
      <c r="G11" s="321">
        <f>data!$N$227</f>
        <v>86975</v>
      </c>
      <c r="H11" s="323"/>
      <c r="I11" s="325">
        <f>(data!$N$227-data!$N$228)/data!$N$228</f>
        <v>5.8321773624394634E-2</v>
      </c>
      <c r="J11" s="327">
        <f>data!$N$226</f>
        <v>7247.916666666667</v>
      </c>
      <c r="K11" s="317"/>
    </row>
    <row r="12" spans="1:11" ht="18" customHeight="1" thickBot="1" x14ac:dyDescent="0.2">
      <c r="B12" s="226" t="s">
        <v>156</v>
      </c>
      <c r="C12" s="53" t="str">
        <f>Summary_data!AA21</f>
        <v>600 TB/day</v>
      </c>
      <c r="D12" s="56" t="str">
        <f>CONCATENATE(FIXED(1024*Summary_data!$T$16,1), " GB/day")</f>
        <v>76.9 GB/day</v>
      </c>
      <c r="F12" s="320"/>
      <c r="G12" s="356"/>
      <c r="H12" s="324"/>
      <c r="I12" s="326"/>
      <c r="J12" s="328"/>
      <c r="K12" s="318"/>
    </row>
    <row r="13" spans="1:11" ht="18" customHeight="1" x14ac:dyDescent="0.15"/>
    <row r="14" spans="1:11" ht="18" customHeight="1" x14ac:dyDescent="0.15"/>
    <row r="15" spans="1:11" ht="18" customHeight="1" x14ac:dyDescent="0.15"/>
    <row r="16" spans="1:11" ht="25" customHeight="1" x14ac:dyDescent="0.15"/>
    <row r="17" ht="25" customHeight="1" x14ac:dyDescent="0.15"/>
    <row r="18" ht="25" customHeight="1" x14ac:dyDescent="0.15"/>
    <row r="19" ht="25" customHeight="1" x14ac:dyDescent="0.15"/>
    <row r="20" ht="25" customHeight="1" x14ac:dyDescent="0.15"/>
    <row r="21" ht="25" customHeight="1" x14ac:dyDescent="0.15"/>
    <row r="22" ht="25" customHeight="1" x14ac:dyDescent="0.15"/>
    <row r="23" ht="25" customHeight="1" x14ac:dyDescent="0.15"/>
    <row r="24" ht="25" customHeight="1" x14ac:dyDescent="0.15"/>
    <row r="25" ht="25" customHeight="1" x14ac:dyDescent="0.15"/>
    <row r="26" ht="25" customHeight="1" x14ac:dyDescent="0.15"/>
    <row r="27" ht="25" customHeight="1" x14ac:dyDescent="0.15"/>
    <row r="28" ht="25" customHeight="1" x14ac:dyDescent="0.15"/>
    <row r="29" ht="25" customHeight="1" x14ac:dyDescent="0.15"/>
    <row r="30" ht="25" customHeight="1" x14ac:dyDescent="0.15"/>
    <row r="31" ht="25" customHeight="1" x14ac:dyDescent="0.15"/>
    <row r="32" ht="25" customHeight="1" x14ac:dyDescent="0.15"/>
    <row r="33" ht="25" customHeight="1" x14ac:dyDescent="0.15"/>
    <row r="34" ht="25" customHeight="1" x14ac:dyDescent="0.15"/>
    <row r="35" ht="30" customHeight="1" x14ac:dyDescent="0.15"/>
    <row r="36" ht="30" customHeight="1" x14ac:dyDescent="0.15"/>
    <row r="37" ht="30" customHeight="1" x14ac:dyDescent="0.15"/>
  </sheetData>
  <dataConsolidate/>
  <mergeCells count="28">
    <mergeCell ref="B1:K1"/>
    <mergeCell ref="K7:K8"/>
    <mergeCell ref="B2:D2"/>
    <mergeCell ref="F2:K2"/>
    <mergeCell ref="F3:F4"/>
    <mergeCell ref="F5:F6"/>
    <mergeCell ref="G5:G6"/>
    <mergeCell ref="H5:H6"/>
    <mergeCell ref="I5:I6"/>
    <mergeCell ref="J5:J6"/>
    <mergeCell ref="K5:K6"/>
    <mergeCell ref="F7:F8"/>
    <mergeCell ref="G7:G8"/>
    <mergeCell ref="H7:H8"/>
    <mergeCell ref="I7:I8"/>
    <mergeCell ref="J7:J8"/>
    <mergeCell ref="K11:K12"/>
    <mergeCell ref="F11:F12"/>
    <mergeCell ref="G11:G12"/>
    <mergeCell ref="H11:H12"/>
    <mergeCell ref="I11:I12"/>
    <mergeCell ref="J11:J12"/>
    <mergeCell ref="K9:K10"/>
    <mergeCell ref="F9:F10"/>
    <mergeCell ref="G9:G10"/>
    <mergeCell ref="H9:H10"/>
    <mergeCell ref="I9:I10"/>
    <mergeCell ref="J9:J10"/>
  </mergeCells>
  <conditionalFormatting sqref="I5 I7 I9">
    <cfRule type="iconSet" priority="314">
      <iconSet iconSet="3Arrows">
        <cfvo type="percent" val="0"/>
        <cfvo type="num" val="0"/>
        <cfvo type="num" val="0.01"/>
      </iconSet>
    </cfRule>
    <cfRule type="iconSet" priority="315">
      <iconSet showValue="0">
        <cfvo type="percent" val="0"/>
        <cfvo type="num" val="0.9"/>
        <cfvo type="num" val="0.95"/>
      </iconSet>
    </cfRule>
    <cfRule type="iconSet" priority="320">
      <iconSet iconSet="5Arrows">
        <cfvo type="percent" val="0"/>
        <cfvo type="percent" val="20"/>
        <cfvo type="percent" val="40"/>
        <cfvo type="percent" val="60"/>
        <cfvo type="percent" val="80"/>
      </iconSet>
    </cfRule>
    <cfRule type="iconSet" priority="321">
      <iconSet>
        <cfvo type="percent" val="0"/>
        <cfvo type="percent" val="33"/>
        <cfvo type="percent" val="67"/>
      </iconSet>
    </cfRule>
    <cfRule type="iconSet" priority="322">
      <iconSet iconSet="4Arrows">
        <cfvo type="percent" val="0"/>
        <cfvo type="percent" val="25"/>
        <cfvo type="percent" val="50"/>
        <cfvo type="percentile" val="75"/>
      </iconSet>
    </cfRule>
    <cfRule type="iconSet" priority="323">
      <iconSet iconSet="5Arrows">
        <cfvo type="percent" val="0"/>
        <cfvo type="percent" val="20"/>
        <cfvo type="percent" val="40"/>
        <cfvo type="percent" val="60"/>
        <cfvo type="percent" val="80"/>
      </iconSet>
    </cfRule>
    <cfRule type="iconSet" priority="324">
      <iconSet iconSet="3Arrows">
        <cfvo type="percent" val="0"/>
        <cfvo type="percent" val="33"/>
        <cfvo type="percent" val="67"/>
      </iconSet>
    </cfRule>
    <cfRule type="iconSet" priority="335">
      <iconSet iconSet="5Arrows">
        <cfvo type="percent" val="0"/>
        <cfvo type="num" val="-0.2"/>
        <cfvo type="num" val="-0.05"/>
        <cfvo type="num" val="0.05"/>
        <cfvo type="num" val="0.2"/>
      </iconSet>
    </cfRule>
  </conditionalFormatting>
  <conditionalFormatting sqref="I11">
    <cfRule type="iconSet" priority="1">
      <iconSet iconSet="3Arrows">
        <cfvo type="percent" val="0"/>
        <cfvo type="num" val="0"/>
        <cfvo type="num" val="0.01"/>
      </iconSet>
    </cfRule>
    <cfRule type="iconSet" priority="2">
      <iconSet iconSet="5Arrows">
        <cfvo type="percent" val="0"/>
        <cfvo type="num" val="-0.2"/>
        <cfvo type="num" val="-0.05"/>
        <cfvo type="num" val="0.05"/>
        <cfvo type="num" val="0.2"/>
      </iconSet>
    </cfRule>
    <cfRule type="iconSet" priority="3">
      <iconSet iconSet="5Arrows">
        <cfvo type="percent" val="0"/>
        <cfvo type="percent" val="20"/>
        <cfvo type="percent" val="40"/>
        <cfvo type="percent" val="60"/>
        <cfvo type="percent" val="80"/>
      </iconSet>
    </cfRule>
    <cfRule type="iconSet" priority="4">
      <iconSet showValue="0">
        <cfvo type="percent" val="0"/>
        <cfvo type="num" val="0.9"/>
        <cfvo type="num" val="0.95"/>
      </iconSet>
    </cfRule>
    <cfRule type="iconSet" priority="5">
      <iconSet>
        <cfvo type="percent" val="0"/>
        <cfvo type="percent" val="33"/>
        <cfvo type="percent" val="67"/>
      </iconSet>
    </cfRule>
    <cfRule type="iconSet" priority="6">
      <iconSet iconSet="4Arrows">
        <cfvo type="percent" val="0"/>
        <cfvo type="percent" val="25"/>
        <cfvo type="percent" val="50"/>
        <cfvo type="percentile" val="75"/>
      </iconSet>
    </cfRule>
    <cfRule type="iconSet" priority="7">
      <iconSet iconSet="5Arrows">
        <cfvo type="percent" val="0"/>
        <cfvo type="percent" val="20"/>
        <cfvo type="percent" val="40"/>
        <cfvo type="percent" val="60"/>
        <cfvo type="percent" val="80"/>
      </iconSet>
    </cfRule>
    <cfRule type="iconSet" priority="8">
      <iconSet iconSet="3Arrows">
        <cfvo type="percent" val="0"/>
        <cfvo type="percent" val="33"/>
        <cfvo type="percent" val="67"/>
      </iconSet>
    </cfRule>
  </conditionalFormatting>
  <conditionalFormatting sqref="K5 K7">
    <cfRule type="dataBar" priority="44">
      <dataBar>
        <cfvo type="min"/>
        <cfvo type="max"/>
        <color rgb="FF638EC6"/>
      </dataBar>
      <extLst>
        <ext xmlns:x14="http://schemas.microsoft.com/office/spreadsheetml/2009/9/main" uri="{B025F937-C7B1-47D3-B67F-A62EFF666E3E}">
          <x14:id>{F7ED5237-CD7F-7945-94D6-894FB9DC7BB8}</x14:id>
        </ext>
      </extLst>
    </cfRule>
  </conditionalFormatting>
  <conditionalFormatting sqref="K9">
    <cfRule type="dataBar" priority="43">
      <dataBar>
        <cfvo type="min"/>
        <cfvo type="max"/>
        <color rgb="FF638EC6"/>
      </dataBar>
      <extLst>
        <ext xmlns:x14="http://schemas.microsoft.com/office/spreadsheetml/2009/9/main" uri="{B025F937-C7B1-47D3-B67F-A62EFF666E3E}">
          <x14:id>{7736DFA4-F95A-D64A-8616-9627953CBFB0}</x14:id>
        </ext>
      </extLst>
    </cfRule>
  </conditionalFormatting>
  <conditionalFormatting sqref="K11">
    <cfRule type="dataBar" priority="9">
      <dataBar>
        <cfvo type="min"/>
        <cfvo type="max"/>
        <color rgb="FF638EC6"/>
      </dataBar>
      <extLst>
        <ext xmlns:x14="http://schemas.microsoft.com/office/spreadsheetml/2009/9/main" uri="{B025F937-C7B1-47D3-B67F-A62EFF666E3E}">
          <x14:id>{513460A5-2268-874B-A210-B5E01CAA965E}</x14:id>
        </ext>
      </extLst>
    </cfRule>
  </conditionalFormatting>
  <pageMargins left="0.75" right="0.75" top="1" bottom="1" header="0.5" footer="0.5"/>
  <pageSetup scale="75" orientation="landscape" r:id="rId1"/>
  <headerFooter alignWithMargins="0"/>
  <drawing r:id="rId2"/>
  <extLst>
    <ext xmlns:x14="http://schemas.microsoft.com/office/spreadsheetml/2009/9/main" uri="{78C0D931-6437-407d-A8EE-F0AAD7539E65}">
      <x14:conditionalFormattings>
        <x14:conditionalFormatting xmlns:xm="http://schemas.microsoft.com/office/excel/2006/main">
          <x14:cfRule type="dataBar" id="{F7ED5237-CD7F-7945-94D6-894FB9DC7BB8}">
            <x14:dataBar minLength="0" maxLength="100" negativeBarColorSameAsPositive="1" axisPosition="none">
              <x14:cfvo type="min"/>
              <x14:cfvo type="max"/>
            </x14:dataBar>
          </x14:cfRule>
          <xm:sqref>K5 K7</xm:sqref>
        </x14:conditionalFormatting>
        <x14:conditionalFormatting xmlns:xm="http://schemas.microsoft.com/office/excel/2006/main">
          <x14:cfRule type="dataBar" id="{7736DFA4-F95A-D64A-8616-9627953CBFB0}">
            <x14:dataBar minLength="0" maxLength="100" negativeBarColorSameAsPositive="1" axisPosition="none">
              <x14:cfvo type="min"/>
              <x14:cfvo type="max"/>
            </x14:dataBar>
          </x14:cfRule>
          <xm:sqref>K9</xm:sqref>
        </x14:conditionalFormatting>
        <x14:conditionalFormatting xmlns:xm="http://schemas.microsoft.com/office/excel/2006/main">
          <x14:cfRule type="dataBar" id="{513460A5-2268-874B-A210-B5E01CAA965E}">
            <x14:dataBar minLength="0" maxLength="100" negativeBarColorSameAsPositive="1" axisPosition="none">
              <x14:cfvo type="min"/>
              <x14:cfvo type="max"/>
            </x14:dataBar>
          </x14:cfRule>
          <xm:sqref>K11</xm:sqref>
        </x14:conditionalFormatting>
      </x14:conditionalFormattings>
    </ext>
    <ext xmlns:x14="http://schemas.microsoft.com/office/spreadsheetml/2009/9/main" uri="{05C60535-1F16-4fd2-B633-F4F36F0B64E0}">
      <x14:sparklineGroups xmlns:xm="http://schemas.microsoft.com/office/excel/2006/main">
        <x14:sparklineGroup manualMax="0" manualMin="0" displayEmptyCellsAs="gap" high="1" xr2:uid="{00000000-0003-0000-0D00-000039000000}">
          <x14:colorSeries rgb="FF376092"/>
          <x14:colorNegative rgb="FFD00000"/>
          <x14:colorAxis rgb="FF000000"/>
          <x14:colorMarkers rgb="FFD00000"/>
          <x14:colorFirst rgb="FFD00000"/>
          <x14:colorLast rgb="FFD00000"/>
          <x14:colorHigh rgb="FFD00000"/>
          <x14:colorLow rgb="FFD00000"/>
          <x14:sparklines>
            <x14:sparkline>
              <xm:f>data!N213:N224</xm:f>
              <xm:sqref>K11</xm:sqref>
            </x14:sparkline>
          </x14:sparklines>
        </x14:sparklineGroup>
        <x14:sparklineGroup manualMax="0" manualMin="0" displayEmptyCellsAs="gap" high="1" xr2:uid="{00000000-0003-0000-0D00-000036000000}">
          <x14:colorSeries rgb="FF376092"/>
          <x14:colorNegative rgb="FFD00000"/>
          <x14:colorAxis rgb="FF000000"/>
          <x14:colorMarkers rgb="FFD00000"/>
          <x14:colorFirst rgb="FFD00000"/>
          <x14:colorLast rgb="FFD00000"/>
          <x14:colorHigh rgb="FFD00000"/>
          <x14:colorLow rgb="FFD00000"/>
          <x14:sparklines>
            <x14:sparkline>
              <xm:f>data!N106:N117</xm:f>
              <xm:sqref>K9</xm:sqref>
            </x14:sparkline>
          </x14:sparklines>
        </x14:sparklineGroup>
        <x14:sparklineGroup manualMax="0" manualMin="0" displayEmptyCellsAs="gap" high="1" xr2:uid="{00000000-0003-0000-0D00-000037000000}">
          <x14:colorSeries rgb="FF376092"/>
          <x14:colorNegative rgb="FFD00000"/>
          <x14:colorAxis rgb="FF000000"/>
          <x14:colorMarkers rgb="FFD00000"/>
          <x14:colorFirst rgb="FFD00000"/>
          <x14:colorLast rgb="FFD00000"/>
          <x14:colorHigh rgb="FFD00000"/>
          <x14:colorLow rgb="FFD00000"/>
          <x14:sparklines>
            <x14:sparkline>
              <xm:f>data!N3:N14</xm:f>
              <xm:sqref>K5</xm:sqref>
            </x14:sparkline>
          </x14:sparklines>
        </x14:sparklineGroup>
        <x14:sparklineGroup manualMax="0" manualMin="0" displayEmptyCellsAs="gap" high="1" xr2:uid="{00000000-0003-0000-0D00-000038000000}">
          <x14:colorSeries rgb="FF376092"/>
          <x14:colorNegative rgb="FFD00000"/>
          <x14:colorAxis rgb="FF000000"/>
          <x14:colorMarkers rgb="FFD00000"/>
          <x14:colorFirst rgb="FFD00000"/>
          <x14:colorLast rgb="FFD00000"/>
          <x14:colorHigh rgb="FFD00000"/>
          <x14:colorLow rgb="FFD00000"/>
          <x14:sparklines>
            <x14:sparkline>
              <xm:f>data!N55:N66</xm:f>
              <xm:sqref>K7</xm:sqref>
            </x14:sparkline>
          </x14:sparklines>
        </x14:sparklineGroup>
      </x14:sparklineGroup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0"/>
  </sheetPr>
  <dimension ref="A1:K37"/>
  <sheetViews>
    <sheetView tabSelected="1" zoomScale="84" zoomScaleNormal="84" zoomScalePageLayoutView="90" workbookViewId="0">
      <selection activeCell="C12" sqref="C12"/>
    </sheetView>
  </sheetViews>
  <sheetFormatPr baseColWidth="10" defaultColWidth="11.5" defaultRowHeight="13" x14ac:dyDescent="0.15"/>
  <cols>
    <col min="1" max="1" width="7.1640625" customWidth="1"/>
    <col min="2" max="2" width="56.6640625" customWidth="1"/>
    <col min="3" max="3" width="18.1640625" customWidth="1"/>
    <col min="4" max="4" width="17.5" customWidth="1"/>
    <col min="5" max="5" width="3.5" customWidth="1"/>
    <col min="6" max="6" width="16" customWidth="1"/>
    <col min="7" max="7" width="13" customWidth="1"/>
    <col min="8" max="8" width="1.6640625" customWidth="1"/>
    <col min="9" max="9" width="14" customWidth="1"/>
    <col min="10" max="10" width="15" customWidth="1"/>
    <col min="11" max="11" width="29.5" customWidth="1"/>
    <col min="12" max="12" width="19.83203125" customWidth="1"/>
    <col min="13" max="13" width="22.1640625" customWidth="1"/>
    <col min="14" max="14" width="42.83203125" customWidth="1"/>
    <col min="15" max="15" width="29.83203125" customWidth="1"/>
  </cols>
  <sheetData>
    <row r="1" spans="1:11" ht="52" customHeight="1" thickBot="1" x14ac:dyDescent="0.2">
      <c r="A1" s="7"/>
      <c r="B1" s="329" t="str">
        <f>CONCATENATE("LANCE Summary for ", Summary_data!X1)</f>
        <v>LANCE Summary for FY 2025</v>
      </c>
      <c r="C1" s="329"/>
      <c r="D1" s="329"/>
      <c r="E1" s="329"/>
      <c r="F1" s="329"/>
      <c r="G1" s="329"/>
      <c r="H1" s="329"/>
      <c r="I1" s="329"/>
      <c r="J1" s="329"/>
      <c r="K1" s="329"/>
    </row>
    <row r="2" spans="1:11" ht="25" customHeight="1" thickBot="1" x14ac:dyDescent="0.2">
      <c r="B2" s="335" t="str">
        <f>Summary_data!Z2</f>
        <v>FY2025 Metrics (Oct 2024 to Sep 2025)</v>
      </c>
      <c r="C2" s="336"/>
      <c r="D2" s="337"/>
      <c r="F2" s="340" t="str">
        <f>CONCATENATE(L_data!B2, " Distribution and User Trends ", Summary_data!W1)</f>
        <v>LANCE Distribution and User Trends (Oct 2024 to Sep 2025)</v>
      </c>
      <c r="G2" s="341"/>
      <c r="H2" s="341"/>
      <c r="I2" s="342"/>
      <c r="J2" s="342"/>
      <c r="K2" s="343"/>
    </row>
    <row r="3" spans="1:11" ht="18" customHeight="1" thickBot="1" x14ac:dyDescent="0.2">
      <c r="B3" s="37" t="s">
        <v>64</v>
      </c>
      <c r="C3" s="37" t="s">
        <v>63</v>
      </c>
      <c r="D3" s="37" t="str">
        <f>L_Summary_data!B4</f>
        <v>LANCE</v>
      </c>
      <c r="F3" s="344" t="s">
        <v>64</v>
      </c>
      <c r="G3" s="38" t="s">
        <v>11</v>
      </c>
      <c r="H3" s="39"/>
      <c r="I3" s="40" t="s">
        <v>25</v>
      </c>
      <c r="J3" s="40" t="s">
        <v>32</v>
      </c>
      <c r="K3" s="41" t="s">
        <v>26</v>
      </c>
    </row>
    <row r="4" spans="1:11" ht="18" customHeight="1" thickBot="1" x14ac:dyDescent="0.2">
      <c r="B4" s="196" t="s">
        <v>137</v>
      </c>
      <c r="C4" s="53">
        <f>Summary_data!AA13</f>
        <v>18755</v>
      </c>
      <c r="D4" s="86">
        <f>L_Summary_data!C4</f>
        <v>569</v>
      </c>
      <c r="F4" s="345"/>
      <c r="G4" s="42" t="str">
        <f>Summary_data!AE2</f>
        <v>FY2025</v>
      </c>
      <c r="H4" s="43"/>
      <c r="I4" s="44" t="str">
        <f>Summary_data!AF2</f>
        <v>FY2024</v>
      </c>
      <c r="J4" s="43" t="s">
        <v>27</v>
      </c>
      <c r="K4" s="45" t="s">
        <v>28</v>
      </c>
    </row>
    <row r="5" spans="1:11" ht="24" customHeight="1" thickBot="1" x14ac:dyDescent="0.2">
      <c r="B5" s="195" t="s">
        <v>138</v>
      </c>
      <c r="C5" s="53" t="str">
        <f>Summary_data!AA4</f>
        <v>8.35 M</v>
      </c>
      <c r="D5" s="87">
        <f>L_Summary_data!H4</f>
        <v>2168638</v>
      </c>
      <c r="F5" s="348" t="s">
        <v>68</v>
      </c>
      <c r="G5" s="349">
        <f>L_data!B16</f>
        <v>356.86886799999996</v>
      </c>
      <c r="H5" s="338"/>
      <c r="I5" s="332">
        <f>(L_data!B$16-L_data!B$18)/L_data!B$18</f>
        <v>0.25003244623330217</v>
      </c>
      <c r="J5" s="339">
        <f>L_data!B$17</f>
        <v>29.739072333333329</v>
      </c>
      <c r="K5" s="371"/>
    </row>
    <row r="6" spans="1:11" ht="18" customHeight="1" thickBot="1" x14ac:dyDescent="0.2">
      <c r="B6" s="195" t="s">
        <v>135</v>
      </c>
      <c r="C6" s="53"/>
      <c r="D6" s="87">
        <f>L_Summary_data!F4</f>
        <v>14358</v>
      </c>
      <c r="F6" s="330"/>
      <c r="G6" s="350"/>
      <c r="H6" s="323"/>
      <c r="I6" s="325"/>
      <c r="J6" s="334"/>
      <c r="K6" s="369"/>
    </row>
    <row r="7" spans="1:11" ht="18" customHeight="1" thickBot="1" x14ac:dyDescent="0.2">
      <c r="B7" s="195" t="s">
        <v>136</v>
      </c>
      <c r="C7" s="53"/>
      <c r="D7" s="87">
        <f>L_data!I108</f>
        <v>2568934</v>
      </c>
      <c r="F7" s="319" t="s">
        <v>62</v>
      </c>
      <c r="G7" s="346">
        <f>L_data!B69</f>
        <v>2047.600759020125</v>
      </c>
      <c r="H7" s="323"/>
      <c r="I7" s="332">
        <f>(L_data!B$69-L_data!B$71)/L_data!B$71</f>
        <v>-0.21402293596494978</v>
      </c>
      <c r="J7" s="334">
        <f>L_data!B$70</f>
        <v>170.63339658501042</v>
      </c>
      <c r="K7" s="369"/>
    </row>
    <row r="8" spans="1:11" ht="18" customHeight="1" thickBot="1" x14ac:dyDescent="0.2">
      <c r="B8" s="195" t="s">
        <v>130</v>
      </c>
      <c r="C8" s="53" t="str">
        <f>Summary_data!AA5</f>
        <v>3.5 M</v>
      </c>
      <c r="D8" s="87" t="str">
        <f>CONCATENATE(FIXED(L_Summary_data!J$4/1000000,2), " M")</f>
        <v>6.79 M</v>
      </c>
      <c r="F8" s="330"/>
      <c r="G8" s="347"/>
      <c r="H8" s="323"/>
      <c r="I8" s="325"/>
      <c r="J8" s="334"/>
      <c r="K8" s="369"/>
    </row>
    <row r="9" spans="1:11" ht="18" customHeight="1" thickBot="1" x14ac:dyDescent="0.2">
      <c r="B9" s="195" t="s">
        <v>80</v>
      </c>
      <c r="C9" s="87" t="str">
        <f>Summary_data!AA6</f>
        <v>153.61 TB/day</v>
      </c>
      <c r="D9" s="88" t="str">
        <f>CONCATENATE(FIXED(L_Summary_data!$M$4,1), " TB/day")</f>
        <v>8.8 TB/day</v>
      </c>
      <c r="F9" s="319" t="s">
        <v>81</v>
      </c>
      <c r="G9" s="321">
        <f>L_data!B$123</f>
        <v>14358</v>
      </c>
      <c r="H9" s="323"/>
      <c r="I9" s="332">
        <f>(L_data!B$123-L_data!B$124)/L_data!B$124</f>
        <v>1.5251494899753781</v>
      </c>
      <c r="J9" s="327">
        <f>L_data!B$122</f>
        <v>1095.8333333333333</v>
      </c>
      <c r="K9" s="369"/>
    </row>
    <row r="10" spans="1:11" ht="21" customHeight="1" thickBot="1" x14ac:dyDescent="0.2">
      <c r="B10" s="195" t="s">
        <v>146</v>
      </c>
      <c r="C10" s="53" t="str">
        <f>Summary_data!AA7</f>
        <v>141.08 PB</v>
      </c>
      <c r="D10" s="89" t="str">
        <f>CONCATENATE(FIXED(L_Summary_data!$N$4,1), " PB")</f>
        <v>3.1 PB</v>
      </c>
      <c r="F10" s="330"/>
      <c r="G10" s="331"/>
      <c r="H10" s="323"/>
      <c r="I10" s="325"/>
      <c r="J10" s="327"/>
      <c r="K10" s="369"/>
    </row>
    <row r="11" spans="1:11" ht="18" customHeight="1" thickBot="1" x14ac:dyDescent="0.2">
      <c r="B11" s="197" t="s">
        <v>1</v>
      </c>
      <c r="C11" s="53" t="str">
        <f>Summary_data!AA20</f>
        <v>4,316.1 M</v>
      </c>
      <c r="D11" s="87" t="str">
        <f>CONCATENATE(FIXED(L_Summary_data!$Q$4,1), " M")</f>
        <v>356.9 M</v>
      </c>
      <c r="E11" s="5"/>
      <c r="F11" s="319" t="s">
        <v>125</v>
      </c>
      <c r="G11" s="321">
        <f>L_data!B$275</f>
        <v>2477287</v>
      </c>
      <c r="H11" s="323"/>
      <c r="I11" s="325">
        <f>(L_data!B$275-L_data!B$276)/L_data!B$276</f>
        <v>0.34996866604543697</v>
      </c>
      <c r="J11" s="327">
        <f>L_data!B$274</f>
        <v>206440.58333333334</v>
      </c>
      <c r="K11" s="369"/>
    </row>
    <row r="12" spans="1:11" ht="18" customHeight="1" thickBot="1" x14ac:dyDescent="0.2">
      <c r="B12" s="198" t="s">
        <v>2</v>
      </c>
      <c r="C12" s="89" t="str">
        <f>Summary_data!AA21</f>
        <v>600 TB/day</v>
      </c>
      <c r="D12" s="89" t="str">
        <f>CONCATENATE(FIXED(L_Summary_data!$S$4,1), " TB/day")</f>
        <v>5.6 TB/day</v>
      </c>
      <c r="F12" s="320"/>
      <c r="G12" s="322"/>
      <c r="H12" s="324"/>
      <c r="I12" s="326"/>
      <c r="J12" s="328"/>
      <c r="K12" s="370"/>
    </row>
    <row r="13" spans="1:11" ht="17" customHeight="1" x14ac:dyDescent="0.15">
      <c r="B13" s="90" t="s">
        <v>82</v>
      </c>
      <c r="C13" s="91"/>
    </row>
    <row r="14" spans="1:11" ht="15" customHeight="1" x14ac:dyDescent="0.15">
      <c r="B14" s="90" t="s">
        <v>83</v>
      </c>
    </row>
    <row r="15" spans="1:11" ht="18" customHeight="1" x14ac:dyDescent="0.15">
      <c r="B15" s="90"/>
    </row>
    <row r="16" spans="1:11" ht="18" customHeight="1" x14ac:dyDescent="0.15"/>
    <row r="17" ht="25" customHeight="1" x14ac:dyDescent="0.15"/>
    <row r="18" ht="25" customHeight="1" x14ac:dyDescent="0.15"/>
    <row r="19" ht="25" customHeight="1" x14ac:dyDescent="0.15"/>
    <row r="20" ht="25" customHeight="1" x14ac:dyDescent="0.15"/>
    <row r="21" ht="25" customHeight="1" x14ac:dyDescent="0.15"/>
    <row r="22" ht="25" customHeight="1" x14ac:dyDescent="0.15"/>
    <row r="23" ht="25" customHeight="1" x14ac:dyDescent="0.15"/>
    <row r="24" ht="25" customHeight="1" x14ac:dyDescent="0.15"/>
    <row r="25" ht="25" customHeight="1" x14ac:dyDescent="0.15"/>
    <row r="26" ht="25" customHeight="1" x14ac:dyDescent="0.15"/>
    <row r="27" ht="25" customHeight="1" x14ac:dyDescent="0.15"/>
    <row r="28" ht="25" customHeight="1" x14ac:dyDescent="0.15"/>
    <row r="29" ht="25" customHeight="1" x14ac:dyDescent="0.15"/>
    <row r="30" ht="25" customHeight="1" x14ac:dyDescent="0.15"/>
    <row r="31" ht="25" customHeight="1" x14ac:dyDescent="0.15"/>
    <row r="32" ht="25" customHeight="1" x14ac:dyDescent="0.15"/>
    <row r="33" ht="25" customHeight="1" x14ac:dyDescent="0.15"/>
    <row r="34" ht="25" customHeight="1" x14ac:dyDescent="0.15"/>
    <row r="35" ht="25" customHeight="1" x14ac:dyDescent="0.15"/>
    <row r="36" ht="30" customHeight="1" x14ac:dyDescent="0.15"/>
    <row r="37" ht="30" customHeight="1" x14ac:dyDescent="0.15"/>
  </sheetData>
  <dataConsolidate/>
  <mergeCells count="28">
    <mergeCell ref="J9:J10"/>
    <mergeCell ref="B1:K1"/>
    <mergeCell ref="B2:D2"/>
    <mergeCell ref="F2:K2"/>
    <mergeCell ref="F3:F4"/>
    <mergeCell ref="F5:F6"/>
    <mergeCell ref="G5:G6"/>
    <mergeCell ref="H5:H6"/>
    <mergeCell ref="I5:I6"/>
    <mergeCell ref="J5:J6"/>
    <mergeCell ref="K5:K6"/>
    <mergeCell ref="J7:J8"/>
    <mergeCell ref="K9:K10"/>
    <mergeCell ref="K7:K8"/>
    <mergeCell ref="F7:F8"/>
    <mergeCell ref="G7:G8"/>
    <mergeCell ref="K11:K12"/>
    <mergeCell ref="F11:F12"/>
    <mergeCell ref="G11:G12"/>
    <mergeCell ref="H11:H12"/>
    <mergeCell ref="I11:I12"/>
    <mergeCell ref="J11:J12"/>
    <mergeCell ref="H7:H8"/>
    <mergeCell ref="I7:I8"/>
    <mergeCell ref="F9:F10"/>
    <mergeCell ref="G9:G10"/>
    <mergeCell ref="H9:H10"/>
    <mergeCell ref="I9:I10"/>
  </mergeCells>
  <conditionalFormatting sqref="I5 I7 I9">
    <cfRule type="iconSet" priority="336">
      <iconSet iconSet="3Arrows">
        <cfvo type="percent" val="0"/>
        <cfvo type="num" val="0"/>
        <cfvo type="num" val="0.01"/>
      </iconSet>
    </cfRule>
    <cfRule type="iconSet" priority="337">
      <iconSet showValue="0">
        <cfvo type="percent" val="0"/>
        <cfvo type="num" val="0.9"/>
        <cfvo type="num" val="0.95"/>
      </iconSet>
    </cfRule>
    <cfRule type="iconSet" priority="342">
      <iconSet iconSet="5Arrows">
        <cfvo type="percent" val="0"/>
        <cfvo type="percent" val="20"/>
        <cfvo type="percent" val="40"/>
        <cfvo type="percent" val="60"/>
        <cfvo type="percent" val="80"/>
      </iconSet>
    </cfRule>
    <cfRule type="iconSet" priority="343">
      <iconSet>
        <cfvo type="percent" val="0"/>
        <cfvo type="percent" val="33"/>
        <cfvo type="percent" val="67"/>
      </iconSet>
    </cfRule>
    <cfRule type="iconSet" priority="344">
      <iconSet iconSet="4Arrows">
        <cfvo type="percent" val="0"/>
        <cfvo type="percent" val="25"/>
        <cfvo type="percent" val="50"/>
        <cfvo type="percentile" val="75"/>
      </iconSet>
    </cfRule>
    <cfRule type="iconSet" priority="345">
      <iconSet iconSet="5Arrows">
        <cfvo type="percent" val="0"/>
        <cfvo type="percent" val="20"/>
        <cfvo type="percent" val="40"/>
        <cfvo type="percent" val="60"/>
        <cfvo type="percent" val="80"/>
      </iconSet>
    </cfRule>
    <cfRule type="iconSet" priority="346">
      <iconSet iconSet="3Arrows">
        <cfvo type="percent" val="0"/>
        <cfvo type="percent" val="33"/>
        <cfvo type="percent" val="67"/>
      </iconSet>
    </cfRule>
    <cfRule type="iconSet" priority="357">
      <iconSet iconSet="5Arrows">
        <cfvo type="percent" val="0"/>
        <cfvo type="num" val="-0.2"/>
        <cfvo type="num" val="-0.05"/>
        <cfvo type="num" val="0.05"/>
        <cfvo type="num" val="0.2"/>
      </iconSet>
    </cfRule>
  </conditionalFormatting>
  <conditionalFormatting sqref="I11">
    <cfRule type="iconSet" priority="1">
      <iconSet iconSet="3Arrows">
        <cfvo type="percent" val="0"/>
        <cfvo type="num" val="0"/>
        <cfvo type="num" val="0.01"/>
      </iconSet>
    </cfRule>
    <cfRule type="iconSet" priority="2">
      <iconSet iconSet="5Arrows">
        <cfvo type="percent" val="0"/>
        <cfvo type="num" val="-0.2"/>
        <cfvo type="num" val="-0.05"/>
        <cfvo type="num" val="0.05"/>
        <cfvo type="num" val="0.2"/>
      </iconSet>
    </cfRule>
    <cfRule type="iconSet" priority="3">
      <iconSet iconSet="5Arrows">
        <cfvo type="percent" val="0"/>
        <cfvo type="percent" val="20"/>
        <cfvo type="percent" val="40"/>
        <cfvo type="percent" val="60"/>
        <cfvo type="percent" val="80"/>
      </iconSet>
    </cfRule>
    <cfRule type="iconSet" priority="4">
      <iconSet showValue="0">
        <cfvo type="percent" val="0"/>
        <cfvo type="num" val="0.9"/>
        <cfvo type="num" val="0.95"/>
      </iconSet>
    </cfRule>
    <cfRule type="iconSet" priority="5">
      <iconSet>
        <cfvo type="percent" val="0"/>
        <cfvo type="percent" val="33"/>
        <cfvo type="percent" val="67"/>
      </iconSet>
    </cfRule>
    <cfRule type="iconSet" priority="6">
      <iconSet iconSet="4Arrows">
        <cfvo type="percent" val="0"/>
        <cfvo type="percent" val="25"/>
        <cfvo type="percent" val="50"/>
        <cfvo type="percentile" val="75"/>
      </iconSet>
    </cfRule>
    <cfRule type="iconSet" priority="7">
      <iconSet iconSet="5Arrows">
        <cfvo type="percent" val="0"/>
        <cfvo type="percent" val="20"/>
        <cfvo type="percent" val="40"/>
        <cfvo type="percent" val="60"/>
        <cfvo type="percent" val="80"/>
      </iconSet>
    </cfRule>
    <cfRule type="iconSet" priority="8">
      <iconSet iconSet="3Arrows">
        <cfvo type="percent" val="0"/>
        <cfvo type="percent" val="33"/>
        <cfvo type="percent" val="67"/>
      </iconSet>
    </cfRule>
  </conditionalFormatting>
  <conditionalFormatting sqref="K5 K7">
    <cfRule type="dataBar" priority="52">
      <dataBar>
        <cfvo type="min"/>
        <cfvo type="max"/>
        <color rgb="FF638EC6"/>
      </dataBar>
      <extLst>
        <ext xmlns:x14="http://schemas.microsoft.com/office/spreadsheetml/2009/9/main" uri="{B025F937-C7B1-47D3-B67F-A62EFF666E3E}">
          <x14:id>{984C1B2A-4516-4CF4-9B7B-6A5830316BAB}</x14:id>
        </ext>
      </extLst>
    </cfRule>
  </conditionalFormatting>
  <conditionalFormatting sqref="K9">
    <cfRule type="dataBar" priority="51">
      <dataBar>
        <cfvo type="min"/>
        <cfvo type="max"/>
        <color rgb="FF638EC6"/>
      </dataBar>
      <extLst>
        <ext xmlns:x14="http://schemas.microsoft.com/office/spreadsheetml/2009/9/main" uri="{B025F937-C7B1-47D3-B67F-A62EFF666E3E}">
          <x14:id>{724AEEE0-7B7B-41CA-8505-F4284529BC10}</x14:id>
        </ext>
      </extLst>
    </cfRule>
  </conditionalFormatting>
  <conditionalFormatting sqref="K11">
    <cfRule type="dataBar" priority="9">
      <dataBar>
        <cfvo type="min"/>
        <cfvo type="max"/>
        <color rgb="FF638EC6"/>
      </dataBar>
      <extLst>
        <ext xmlns:x14="http://schemas.microsoft.com/office/spreadsheetml/2009/9/main" uri="{B025F937-C7B1-47D3-B67F-A62EFF666E3E}">
          <x14:id>{8C7AB1BA-A2E8-3943-BDEA-1CE575F76C01}</x14:id>
        </ext>
      </extLst>
    </cfRule>
  </conditionalFormatting>
  <pageMargins left="0.75" right="0.75" top="1" bottom="1" header="0.5" footer="0.5"/>
  <pageSetup scale="75" orientation="landscape" r:id="rId1"/>
  <headerFooter alignWithMargins="0"/>
  <drawing r:id="rId2"/>
  <extLst>
    <ext xmlns:x14="http://schemas.microsoft.com/office/spreadsheetml/2009/9/main" uri="{78C0D931-6437-407d-A8EE-F0AAD7539E65}">
      <x14:conditionalFormattings>
        <x14:conditionalFormatting xmlns:xm="http://schemas.microsoft.com/office/excel/2006/main">
          <x14:cfRule type="dataBar" id="{984C1B2A-4516-4CF4-9B7B-6A5830316BAB}">
            <x14:dataBar minLength="0" maxLength="100" negativeBarColorSameAsPositive="1" axisPosition="none">
              <x14:cfvo type="min"/>
              <x14:cfvo type="max"/>
            </x14:dataBar>
          </x14:cfRule>
          <xm:sqref>K5 K7</xm:sqref>
        </x14:conditionalFormatting>
        <x14:conditionalFormatting xmlns:xm="http://schemas.microsoft.com/office/excel/2006/main">
          <x14:cfRule type="dataBar" id="{724AEEE0-7B7B-41CA-8505-F4284529BC10}">
            <x14:dataBar minLength="0" maxLength="100" negativeBarColorSameAsPositive="1" axisPosition="none">
              <x14:cfvo type="min"/>
              <x14:cfvo type="max"/>
            </x14:dataBar>
          </x14:cfRule>
          <xm:sqref>K9</xm:sqref>
        </x14:conditionalFormatting>
        <x14:conditionalFormatting xmlns:xm="http://schemas.microsoft.com/office/excel/2006/main">
          <x14:cfRule type="dataBar" id="{8C7AB1BA-A2E8-3943-BDEA-1CE575F76C01}">
            <x14:dataBar minLength="0" maxLength="100" negativeBarColorSameAsPositive="1" axisPosition="none">
              <x14:cfvo type="min"/>
              <x14:cfvo type="max"/>
            </x14:dataBar>
          </x14:cfRule>
          <xm:sqref>K11</xm:sqref>
        </x14:conditionalFormatting>
      </x14:conditionalFormattings>
    </ext>
    <ext xmlns:x14="http://schemas.microsoft.com/office/spreadsheetml/2009/9/main" uri="{05C60535-1F16-4fd2-B633-F4F36F0B64E0}">
      <x14:sparklineGroups xmlns:xm="http://schemas.microsoft.com/office/excel/2006/main">
        <x14:sparklineGroup manualMax="0" manualMin="0" displayEmptyCellsAs="gap" high="1" xr2:uid="{00000000-0003-0000-0E00-00003E000000}">
          <x14:colorSeries rgb="FF376092"/>
          <x14:colorNegative rgb="FFD00000"/>
          <x14:colorAxis rgb="FF000000"/>
          <x14:colorMarkers rgb="FFD00000"/>
          <x14:colorFirst rgb="FFD00000"/>
          <x14:colorLast rgb="FFD00000"/>
          <x14:colorHigh rgb="FFD00000"/>
          <x14:colorLow rgb="FFD00000"/>
          <x14:sparklines>
            <x14:sparkline>
              <xm:f>L_data!B261:B272</xm:f>
              <xm:sqref>K11</xm:sqref>
            </x14:sparkline>
          </x14:sparklines>
        </x14:sparklineGroup>
        <x14:sparklineGroup manualMax="0" manualMin="0" displayEmptyCellsAs="gap" high="1" xr2:uid="{00000000-0003-0000-0E00-00003B000000}">
          <x14:colorSeries rgb="FF376092"/>
          <x14:colorNegative rgb="FFD00000"/>
          <x14:colorAxis rgb="FF000000"/>
          <x14:colorMarkers rgb="FFD00000"/>
          <x14:colorFirst rgb="FFD00000"/>
          <x14:colorLast rgb="FFD00000"/>
          <x14:colorHigh rgb="FFD00000"/>
          <x14:colorLow rgb="FFD00000"/>
          <x14:sparklines>
            <x14:sparkline>
              <xm:f>L_data!B109:B120</xm:f>
              <xm:sqref>K9</xm:sqref>
            </x14:sparkline>
          </x14:sparklines>
        </x14:sparklineGroup>
        <x14:sparklineGroup manualMax="0" manualMin="0" displayEmptyCellsAs="gap" high="1" xr2:uid="{00000000-0003-0000-0E00-00003C000000}">
          <x14:colorSeries rgb="FF376092"/>
          <x14:colorNegative rgb="FFD00000"/>
          <x14:colorAxis rgb="FF000000"/>
          <x14:colorMarkers rgb="FFD00000"/>
          <x14:colorFirst rgb="FFD00000"/>
          <x14:colorLast rgb="FFD00000"/>
          <x14:colorHigh rgb="FFD00000"/>
          <x14:colorLow rgb="FFD00000"/>
          <x14:sparklines>
            <x14:sparkline>
              <xm:f>L_data!B4:B15</xm:f>
              <xm:sqref>K5</xm:sqref>
            </x14:sparkline>
          </x14:sparklines>
        </x14:sparklineGroup>
        <x14:sparklineGroup manualMax="0" manualMin="0" displayEmptyCellsAs="gap" high="1" xr2:uid="{00000000-0003-0000-0E00-00003D000000}">
          <x14:colorSeries rgb="FF376092"/>
          <x14:colorNegative rgb="FFD00000"/>
          <x14:colorAxis rgb="FF000000"/>
          <x14:colorMarkers rgb="FFD00000"/>
          <x14:colorFirst rgb="FFD00000"/>
          <x14:colorLast rgb="FFD00000"/>
          <x14:colorHigh rgb="FFD00000"/>
          <x14:colorLow rgb="FFD00000"/>
          <x14:sparklines>
            <x14:sparkline>
              <xm:f>L_data!B57:B68</xm:f>
              <xm:sqref>K7</xm:sqref>
            </x14:sparkline>
          </x14:sparklines>
        </x14:sparklineGroup>
      </x14:sparklineGroup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N310"/>
  <sheetViews>
    <sheetView topLeftCell="A95" zoomScale="163" zoomScaleNormal="163" workbookViewId="0">
      <selection activeCell="H120" sqref="H120:H121"/>
    </sheetView>
  </sheetViews>
  <sheetFormatPr baseColWidth="10" defaultColWidth="8.83203125" defaultRowHeight="13" x14ac:dyDescent="0.15"/>
  <cols>
    <col min="1" max="1" width="15.5" style="12" customWidth="1"/>
    <col min="2" max="2" width="12.6640625" style="12" customWidth="1"/>
    <col min="3" max="3" width="12.1640625" style="12" customWidth="1"/>
    <col min="4" max="4" width="11.5" style="12" customWidth="1"/>
    <col min="5" max="5" width="10" style="12" customWidth="1"/>
    <col min="6" max="6" width="10.83203125" style="12" customWidth="1"/>
    <col min="7" max="7" width="11.1640625" style="12" customWidth="1"/>
    <col min="8" max="8" width="11.83203125" style="12" customWidth="1"/>
    <col min="9" max="9" width="10.1640625" style="12" customWidth="1"/>
    <col min="10" max="10" width="11.5" style="12" customWidth="1"/>
    <col min="11" max="12" width="11" style="12" customWidth="1"/>
    <col min="13" max="13" width="10.5" style="12" customWidth="1"/>
    <col min="14" max="14" width="11.5" style="12" customWidth="1"/>
    <col min="15" max="15" width="13.83203125" style="12" bestFit="1" customWidth="1"/>
    <col min="16" max="16" width="41.6640625" style="12" bestFit="1" customWidth="1"/>
    <col min="17" max="17" width="13.83203125" style="12" bestFit="1" customWidth="1"/>
    <col min="18" max="18" width="15" style="12" bestFit="1" customWidth="1"/>
    <col min="19" max="19" width="13.83203125" style="12" bestFit="1" customWidth="1"/>
    <col min="20" max="20" width="13.83203125" style="12" customWidth="1"/>
    <col min="21" max="21" width="10.6640625" style="12" customWidth="1"/>
    <col min="22" max="22" width="14.83203125" style="12" customWidth="1"/>
    <col min="23" max="23" width="12.6640625" style="12" customWidth="1"/>
    <col min="24" max="24" width="15" style="12" bestFit="1" customWidth="1"/>
    <col min="25" max="25" width="12.6640625" style="12" bestFit="1" customWidth="1"/>
    <col min="26" max="26" width="12.1640625" style="12" customWidth="1"/>
    <col min="27" max="27" width="11.33203125" style="12" customWidth="1"/>
    <col min="28" max="28" width="10.33203125" style="12" customWidth="1"/>
    <col min="29" max="29" width="13.5" style="12" bestFit="1" customWidth="1"/>
    <col min="30" max="30" width="13.83203125" style="12" bestFit="1" customWidth="1"/>
    <col min="31" max="31" width="12.1640625" style="12" bestFit="1" customWidth="1"/>
    <col min="32" max="32" width="13.83203125" style="12" bestFit="1" customWidth="1"/>
    <col min="33" max="33" width="15" style="12" bestFit="1" customWidth="1"/>
    <col min="34" max="35" width="13.83203125" style="12" bestFit="1" customWidth="1"/>
    <col min="36" max="36" width="11.5" style="12" customWidth="1"/>
    <col min="37" max="37" width="12.33203125" style="12" customWidth="1"/>
    <col min="38" max="38" width="12" style="12" customWidth="1"/>
    <col min="39" max="39" width="11.1640625" style="12" customWidth="1"/>
    <col min="40" max="40" width="11.33203125" style="12" customWidth="1"/>
    <col min="41" max="257" width="8.83203125" style="12"/>
    <col min="258" max="258" width="14.5" style="12" customWidth="1"/>
    <col min="259" max="259" width="16.5" style="12" customWidth="1"/>
    <col min="260" max="260" width="14.5" style="12" customWidth="1"/>
    <col min="261" max="263" width="8.83203125" style="12"/>
    <col min="264" max="264" width="10.33203125" style="12" bestFit="1" customWidth="1"/>
    <col min="265" max="265" width="10.1640625" style="12" customWidth="1"/>
    <col min="266" max="266" width="11.5" style="12" customWidth="1"/>
    <col min="267" max="267" width="11" style="12" customWidth="1"/>
    <col min="268" max="268" width="6.33203125" style="12" customWidth="1"/>
    <col min="269" max="269" width="11.33203125" style="12" customWidth="1"/>
    <col min="270" max="270" width="14.6640625" style="12" bestFit="1" customWidth="1"/>
    <col min="271" max="513" width="8.83203125" style="12"/>
    <col min="514" max="514" width="14.5" style="12" customWidth="1"/>
    <col min="515" max="515" width="16.5" style="12" customWidth="1"/>
    <col min="516" max="516" width="14.5" style="12" customWidth="1"/>
    <col min="517" max="519" width="8.83203125" style="12"/>
    <col min="520" max="520" width="10.33203125" style="12" bestFit="1" customWidth="1"/>
    <col min="521" max="521" width="10.1640625" style="12" customWidth="1"/>
    <col min="522" max="522" width="11.5" style="12" customWidth="1"/>
    <col min="523" max="523" width="11" style="12" customWidth="1"/>
    <col min="524" max="524" width="6.33203125" style="12" customWidth="1"/>
    <col min="525" max="525" width="11.33203125" style="12" customWidth="1"/>
    <col min="526" max="526" width="14.6640625" style="12" bestFit="1" customWidth="1"/>
    <col min="527" max="769" width="8.83203125" style="12"/>
    <col min="770" max="770" width="14.5" style="12" customWidth="1"/>
    <col min="771" max="771" width="16.5" style="12" customWidth="1"/>
    <col min="772" max="772" width="14.5" style="12" customWidth="1"/>
    <col min="773" max="775" width="8.83203125" style="12"/>
    <col min="776" max="776" width="10.33203125" style="12" bestFit="1" customWidth="1"/>
    <col min="777" max="777" width="10.1640625" style="12" customWidth="1"/>
    <col min="778" max="778" width="11.5" style="12" customWidth="1"/>
    <col min="779" max="779" width="11" style="12" customWidth="1"/>
    <col min="780" max="780" width="6.33203125" style="12" customWidth="1"/>
    <col min="781" max="781" width="11.33203125" style="12" customWidth="1"/>
    <col min="782" max="782" width="14.6640625" style="12" bestFit="1" customWidth="1"/>
    <col min="783" max="1025" width="8.83203125" style="12"/>
    <col min="1026" max="1026" width="14.5" style="12" customWidth="1"/>
    <col min="1027" max="1027" width="16.5" style="12" customWidth="1"/>
    <col min="1028" max="1028" width="14.5" style="12" customWidth="1"/>
    <col min="1029" max="1031" width="8.83203125" style="12"/>
    <col min="1032" max="1032" width="10.33203125" style="12" bestFit="1" customWidth="1"/>
    <col min="1033" max="1033" width="10.1640625" style="12" customWidth="1"/>
    <col min="1034" max="1034" width="11.5" style="12" customWidth="1"/>
    <col min="1035" max="1035" width="11" style="12" customWidth="1"/>
    <col min="1036" max="1036" width="6.33203125" style="12" customWidth="1"/>
    <col min="1037" max="1037" width="11.33203125" style="12" customWidth="1"/>
    <col min="1038" max="1038" width="14.6640625" style="12" bestFit="1" customWidth="1"/>
    <col min="1039" max="1281" width="8.83203125" style="12"/>
    <col min="1282" max="1282" width="14.5" style="12" customWidth="1"/>
    <col min="1283" max="1283" width="16.5" style="12" customWidth="1"/>
    <col min="1284" max="1284" width="14.5" style="12" customWidth="1"/>
    <col min="1285" max="1287" width="8.83203125" style="12"/>
    <col min="1288" max="1288" width="10.33203125" style="12" bestFit="1" customWidth="1"/>
    <col min="1289" max="1289" width="10.1640625" style="12" customWidth="1"/>
    <col min="1290" max="1290" width="11.5" style="12" customWidth="1"/>
    <col min="1291" max="1291" width="11" style="12" customWidth="1"/>
    <col min="1292" max="1292" width="6.33203125" style="12" customWidth="1"/>
    <col min="1293" max="1293" width="11.33203125" style="12" customWidth="1"/>
    <col min="1294" max="1294" width="14.6640625" style="12" bestFit="1" customWidth="1"/>
    <col min="1295" max="1537" width="8.83203125" style="12"/>
    <col min="1538" max="1538" width="14.5" style="12" customWidth="1"/>
    <col min="1539" max="1539" width="16.5" style="12" customWidth="1"/>
    <col min="1540" max="1540" width="14.5" style="12" customWidth="1"/>
    <col min="1541" max="1543" width="8.83203125" style="12"/>
    <col min="1544" max="1544" width="10.33203125" style="12" bestFit="1" customWidth="1"/>
    <col min="1545" max="1545" width="10.1640625" style="12" customWidth="1"/>
    <col min="1546" max="1546" width="11.5" style="12" customWidth="1"/>
    <col min="1547" max="1547" width="11" style="12" customWidth="1"/>
    <col min="1548" max="1548" width="6.33203125" style="12" customWidth="1"/>
    <col min="1549" max="1549" width="11.33203125" style="12" customWidth="1"/>
    <col min="1550" max="1550" width="14.6640625" style="12" bestFit="1" customWidth="1"/>
    <col min="1551" max="1793" width="8.83203125" style="12"/>
    <col min="1794" max="1794" width="14.5" style="12" customWidth="1"/>
    <col min="1795" max="1795" width="16.5" style="12" customWidth="1"/>
    <col min="1796" max="1796" width="14.5" style="12" customWidth="1"/>
    <col min="1797" max="1799" width="8.83203125" style="12"/>
    <col min="1800" max="1800" width="10.33203125" style="12" bestFit="1" customWidth="1"/>
    <col min="1801" max="1801" width="10.1640625" style="12" customWidth="1"/>
    <col min="1802" max="1802" width="11.5" style="12" customWidth="1"/>
    <col min="1803" max="1803" width="11" style="12" customWidth="1"/>
    <col min="1804" max="1804" width="6.33203125" style="12" customWidth="1"/>
    <col min="1805" max="1805" width="11.33203125" style="12" customWidth="1"/>
    <col min="1806" max="1806" width="14.6640625" style="12" bestFit="1" customWidth="1"/>
    <col min="1807" max="2049" width="8.83203125" style="12"/>
    <col min="2050" max="2050" width="14.5" style="12" customWidth="1"/>
    <col min="2051" max="2051" width="16.5" style="12" customWidth="1"/>
    <col min="2052" max="2052" width="14.5" style="12" customWidth="1"/>
    <col min="2053" max="2055" width="8.83203125" style="12"/>
    <col min="2056" max="2056" width="10.33203125" style="12" bestFit="1" customWidth="1"/>
    <col min="2057" max="2057" width="10.1640625" style="12" customWidth="1"/>
    <col min="2058" max="2058" width="11.5" style="12" customWidth="1"/>
    <col min="2059" max="2059" width="11" style="12" customWidth="1"/>
    <col min="2060" max="2060" width="6.33203125" style="12" customWidth="1"/>
    <col min="2061" max="2061" width="11.33203125" style="12" customWidth="1"/>
    <col min="2062" max="2062" width="14.6640625" style="12" bestFit="1" customWidth="1"/>
    <col min="2063" max="2305" width="8.83203125" style="12"/>
    <col min="2306" max="2306" width="14.5" style="12" customWidth="1"/>
    <col min="2307" max="2307" width="16.5" style="12" customWidth="1"/>
    <col min="2308" max="2308" width="14.5" style="12" customWidth="1"/>
    <col min="2309" max="2311" width="8.83203125" style="12"/>
    <col min="2312" max="2312" width="10.33203125" style="12" bestFit="1" customWidth="1"/>
    <col min="2313" max="2313" width="10.1640625" style="12" customWidth="1"/>
    <col min="2314" max="2314" width="11.5" style="12" customWidth="1"/>
    <col min="2315" max="2315" width="11" style="12" customWidth="1"/>
    <col min="2316" max="2316" width="6.33203125" style="12" customWidth="1"/>
    <col min="2317" max="2317" width="11.33203125" style="12" customWidth="1"/>
    <col min="2318" max="2318" width="14.6640625" style="12" bestFit="1" customWidth="1"/>
    <col min="2319" max="2561" width="8.83203125" style="12"/>
    <col min="2562" max="2562" width="14.5" style="12" customWidth="1"/>
    <col min="2563" max="2563" width="16.5" style="12" customWidth="1"/>
    <col min="2564" max="2564" width="14.5" style="12" customWidth="1"/>
    <col min="2565" max="2567" width="8.83203125" style="12"/>
    <col min="2568" max="2568" width="10.33203125" style="12" bestFit="1" customWidth="1"/>
    <col min="2569" max="2569" width="10.1640625" style="12" customWidth="1"/>
    <col min="2570" max="2570" width="11.5" style="12" customWidth="1"/>
    <col min="2571" max="2571" width="11" style="12" customWidth="1"/>
    <col min="2572" max="2572" width="6.33203125" style="12" customWidth="1"/>
    <col min="2573" max="2573" width="11.33203125" style="12" customWidth="1"/>
    <col min="2574" max="2574" width="14.6640625" style="12" bestFit="1" customWidth="1"/>
    <col min="2575" max="2817" width="8.83203125" style="12"/>
    <col min="2818" max="2818" width="14.5" style="12" customWidth="1"/>
    <col min="2819" max="2819" width="16.5" style="12" customWidth="1"/>
    <col min="2820" max="2820" width="14.5" style="12" customWidth="1"/>
    <col min="2821" max="2823" width="8.83203125" style="12"/>
    <col min="2824" max="2824" width="10.33203125" style="12" bestFit="1" customWidth="1"/>
    <col min="2825" max="2825" width="10.1640625" style="12" customWidth="1"/>
    <col min="2826" max="2826" width="11.5" style="12" customWidth="1"/>
    <col min="2827" max="2827" width="11" style="12" customWidth="1"/>
    <col min="2828" max="2828" width="6.33203125" style="12" customWidth="1"/>
    <col min="2829" max="2829" width="11.33203125" style="12" customWidth="1"/>
    <col min="2830" max="2830" width="14.6640625" style="12" bestFit="1" customWidth="1"/>
    <col min="2831" max="3073" width="8.83203125" style="12"/>
    <col min="3074" max="3074" width="14.5" style="12" customWidth="1"/>
    <col min="3075" max="3075" width="16.5" style="12" customWidth="1"/>
    <col min="3076" max="3076" width="14.5" style="12" customWidth="1"/>
    <col min="3077" max="3079" width="8.83203125" style="12"/>
    <col min="3080" max="3080" width="10.33203125" style="12" bestFit="1" customWidth="1"/>
    <col min="3081" max="3081" width="10.1640625" style="12" customWidth="1"/>
    <col min="3082" max="3082" width="11.5" style="12" customWidth="1"/>
    <col min="3083" max="3083" width="11" style="12" customWidth="1"/>
    <col min="3084" max="3084" width="6.33203125" style="12" customWidth="1"/>
    <col min="3085" max="3085" width="11.33203125" style="12" customWidth="1"/>
    <col min="3086" max="3086" width="14.6640625" style="12" bestFit="1" customWidth="1"/>
    <col min="3087" max="3329" width="8.83203125" style="12"/>
    <col min="3330" max="3330" width="14.5" style="12" customWidth="1"/>
    <col min="3331" max="3331" width="16.5" style="12" customWidth="1"/>
    <col min="3332" max="3332" width="14.5" style="12" customWidth="1"/>
    <col min="3333" max="3335" width="8.83203125" style="12"/>
    <col min="3336" max="3336" width="10.33203125" style="12" bestFit="1" customWidth="1"/>
    <col min="3337" max="3337" width="10.1640625" style="12" customWidth="1"/>
    <col min="3338" max="3338" width="11.5" style="12" customWidth="1"/>
    <col min="3339" max="3339" width="11" style="12" customWidth="1"/>
    <col min="3340" max="3340" width="6.33203125" style="12" customWidth="1"/>
    <col min="3341" max="3341" width="11.33203125" style="12" customWidth="1"/>
    <col min="3342" max="3342" width="14.6640625" style="12" bestFit="1" customWidth="1"/>
    <col min="3343" max="3585" width="8.83203125" style="12"/>
    <col min="3586" max="3586" width="14.5" style="12" customWidth="1"/>
    <col min="3587" max="3587" width="16.5" style="12" customWidth="1"/>
    <col min="3588" max="3588" width="14.5" style="12" customWidth="1"/>
    <col min="3589" max="3591" width="8.83203125" style="12"/>
    <col min="3592" max="3592" width="10.33203125" style="12" bestFit="1" customWidth="1"/>
    <col min="3593" max="3593" width="10.1640625" style="12" customWidth="1"/>
    <col min="3594" max="3594" width="11.5" style="12" customWidth="1"/>
    <col min="3595" max="3595" width="11" style="12" customWidth="1"/>
    <col min="3596" max="3596" width="6.33203125" style="12" customWidth="1"/>
    <col min="3597" max="3597" width="11.33203125" style="12" customWidth="1"/>
    <col min="3598" max="3598" width="14.6640625" style="12" bestFit="1" customWidth="1"/>
    <col min="3599" max="3841" width="8.83203125" style="12"/>
    <col min="3842" max="3842" width="14.5" style="12" customWidth="1"/>
    <col min="3843" max="3843" width="16.5" style="12" customWidth="1"/>
    <col min="3844" max="3844" width="14.5" style="12" customWidth="1"/>
    <col min="3845" max="3847" width="8.83203125" style="12"/>
    <col min="3848" max="3848" width="10.33203125" style="12" bestFit="1" customWidth="1"/>
    <col min="3849" max="3849" width="10.1640625" style="12" customWidth="1"/>
    <col min="3850" max="3850" width="11.5" style="12" customWidth="1"/>
    <col min="3851" max="3851" width="11" style="12" customWidth="1"/>
    <col min="3852" max="3852" width="6.33203125" style="12" customWidth="1"/>
    <col min="3853" max="3853" width="11.33203125" style="12" customWidth="1"/>
    <col min="3854" max="3854" width="14.6640625" style="12" bestFit="1" customWidth="1"/>
    <col min="3855" max="4097" width="8.83203125" style="12"/>
    <col min="4098" max="4098" width="14.5" style="12" customWidth="1"/>
    <col min="4099" max="4099" width="16.5" style="12" customWidth="1"/>
    <col min="4100" max="4100" width="14.5" style="12" customWidth="1"/>
    <col min="4101" max="4103" width="8.83203125" style="12"/>
    <col min="4104" max="4104" width="10.33203125" style="12" bestFit="1" customWidth="1"/>
    <col min="4105" max="4105" width="10.1640625" style="12" customWidth="1"/>
    <col min="4106" max="4106" width="11.5" style="12" customWidth="1"/>
    <col min="4107" max="4107" width="11" style="12" customWidth="1"/>
    <col min="4108" max="4108" width="6.33203125" style="12" customWidth="1"/>
    <col min="4109" max="4109" width="11.33203125" style="12" customWidth="1"/>
    <col min="4110" max="4110" width="14.6640625" style="12" bestFit="1" customWidth="1"/>
    <col min="4111" max="4353" width="8.83203125" style="12"/>
    <col min="4354" max="4354" width="14.5" style="12" customWidth="1"/>
    <col min="4355" max="4355" width="16.5" style="12" customWidth="1"/>
    <col min="4356" max="4356" width="14.5" style="12" customWidth="1"/>
    <col min="4357" max="4359" width="8.83203125" style="12"/>
    <col min="4360" max="4360" width="10.33203125" style="12" bestFit="1" customWidth="1"/>
    <col min="4361" max="4361" width="10.1640625" style="12" customWidth="1"/>
    <col min="4362" max="4362" width="11.5" style="12" customWidth="1"/>
    <col min="4363" max="4363" width="11" style="12" customWidth="1"/>
    <col min="4364" max="4364" width="6.33203125" style="12" customWidth="1"/>
    <col min="4365" max="4365" width="11.33203125" style="12" customWidth="1"/>
    <col min="4366" max="4366" width="14.6640625" style="12" bestFit="1" customWidth="1"/>
    <col min="4367" max="4609" width="8.83203125" style="12"/>
    <col min="4610" max="4610" width="14.5" style="12" customWidth="1"/>
    <col min="4611" max="4611" width="16.5" style="12" customWidth="1"/>
    <col min="4612" max="4612" width="14.5" style="12" customWidth="1"/>
    <col min="4613" max="4615" width="8.83203125" style="12"/>
    <col min="4616" max="4616" width="10.33203125" style="12" bestFit="1" customWidth="1"/>
    <col min="4617" max="4617" width="10.1640625" style="12" customWidth="1"/>
    <col min="4618" max="4618" width="11.5" style="12" customWidth="1"/>
    <col min="4619" max="4619" width="11" style="12" customWidth="1"/>
    <col min="4620" max="4620" width="6.33203125" style="12" customWidth="1"/>
    <col min="4621" max="4621" width="11.33203125" style="12" customWidth="1"/>
    <col min="4622" max="4622" width="14.6640625" style="12" bestFit="1" customWidth="1"/>
    <col min="4623" max="4865" width="8.83203125" style="12"/>
    <col min="4866" max="4866" width="14.5" style="12" customWidth="1"/>
    <col min="4867" max="4867" width="16.5" style="12" customWidth="1"/>
    <col min="4868" max="4868" width="14.5" style="12" customWidth="1"/>
    <col min="4869" max="4871" width="8.83203125" style="12"/>
    <col min="4872" max="4872" width="10.33203125" style="12" bestFit="1" customWidth="1"/>
    <col min="4873" max="4873" width="10.1640625" style="12" customWidth="1"/>
    <col min="4874" max="4874" width="11.5" style="12" customWidth="1"/>
    <col min="4875" max="4875" width="11" style="12" customWidth="1"/>
    <col min="4876" max="4876" width="6.33203125" style="12" customWidth="1"/>
    <col min="4877" max="4877" width="11.33203125" style="12" customWidth="1"/>
    <col min="4878" max="4878" width="14.6640625" style="12" bestFit="1" customWidth="1"/>
    <col min="4879" max="5121" width="8.83203125" style="12"/>
    <col min="5122" max="5122" width="14.5" style="12" customWidth="1"/>
    <col min="5123" max="5123" width="16.5" style="12" customWidth="1"/>
    <col min="5124" max="5124" width="14.5" style="12" customWidth="1"/>
    <col min="5125" max="5127" width="8.83203125" style="12"/>
    <col min="5128" max="5128" width="10.33203125" style="12" bestFit="1" customWidth="1"/>
    <col min="5129" max="5129" width="10.1640625" style="12" customWidth="1"/>
    <col min="5130" max="5130" width="11.5" style="12" customWidth="1"/>
    <col min="5131" max="5131" width="11" style="12" customWidth="1"/>
    <col min="5132" max="5132" width="6.33203125" style="12" customWidth="1"/>
    <col min="5133" max="5133" width="11.33203125" style="12" customWidth="1"/>
    <col min="5134" max="5134" width="14.6640625" style="12" bestFit="1" customWidth="1"/>
    <col min="5135" max="5377" width="8.83203125" style="12"/>
    <col min="5378" max="5378" width="14.5" style="12" customWidth="1"/>
    <col min="5379" max="5379" width="16.5" style="12" customWidth="1"/>
    <col min="5380" max="5380" width="14.5" style="12" customWidth="1"/>
    <col min="5381" max="5383" width="8.83203125" style="12"/>
    <col min="5384" max="5384" width="10.33203125" style="12" bestFit="1" customWidth="1"/>
    <col min="5385" max="5385" width="10.1640625" style="12" customWidth="1"/>
    <col min="5386" max="5386" width="11.5" style="12" customWidth="1"/>
    <col min="5387" max="5387" width="11" style="12" customWidth="1"/>
    <col min="5388" max="5388" width="6.33203125" style="12" customWidth="1"/>
    <col min="5389" max="5389" width="11.33203125" style="12" customWidth="1"/>
    <col min="5390" max="5390" width="14.6640625" style="12" bestFit="1" customWidth="1"/>
    <col min="5391" max="5633" width="8.83203125" style="12"/>
    <col min="5634" max="5634" width="14.5" style="12" customWidth="1"/>
    <col min="5635" max="5635" width="16.5" style="12" customWidth="1"/>
    <col min="5636" max="5636" width="14.5" style="12" customWidth="1"/>
    <col min="5637" max="5639" width="8.83203125" style="12"/>
    <col min="5640" max="5640" width="10.33203125" style="12" bestFit="1" customWidth="1"/>
    <col min="5641" max="5641" width="10.1640625" style="12" customWidth="1"/>
    <col min="5642" max="5642" width="11.5" style="12" customWidth="1"/>
    <col min="5643" max="5643" width="11" style="12" customWidth="1"/>
    <col min="5644" max="5644" width="6.33203125" style="12" customWidth="1"/>
    <col min="5645" max="5645" width="11.33203125" style="12" customWidth="1"/>
    <col min="5646" max="5646" width="14.6640625" style="12" bestFit="1" customWidth="1"/>
    <col min="5647" max="5889" width="8.83203125" style="12"/>
    <col min="5890" max="5890" width="14.5" style="12" customWidth="1"/>
    <col min="5891" max="5891" width="16.5" style="12" customWidth="1"/>
    <col min="5892" max="5892" width="14.5" style="12" customWidth="1"/>
    <col min="5893" max="5895" width="8.83203125" style="12"/>
    <col min="5896" max="5896" width="10.33203125" style="12" bestFit="1" customWidth="1"/>
    <col min="5897" max="5897" width="10.1640625" style="12" customWidth="1"/>
    <col min="5898" max="5898" width="11.5" style="12" customWidth="1"/>
    <col min="5899" max="5899" width="11" style="12" customWidth="1"/>
    <col min="5900" max="5900" width="6.33203125" style="12" customWidth="1"/>
    <col min="5901" max="5901" width="11.33203125" style="12" customWidth="1"/>
    <col min="5902" max="5902" width="14.6640625" style="12" bestFit="1" customWidth="1"/>
    <col min="5903" max="6145" width="8.83203125" style="12"/>
    <col min="6146" max="6146" width="14.5" style="12" customWidth="1"/>
    <col min="6147" max="6147" width="16.5" style="12" customWidth="1"/>
    <col min="6148" max="6148" width="14.5" style="12" customWidth="1"/>
    <col min="6149" max="6151" width="8.83203125" style="12"/>
    <col min="6152" max="6152" width="10.33203125" style="12" bestFit="1" customWidth="1"/>
    <col min="6153" max="6153" width="10.1640625" style="12" customWidth="1"/>
    <col min="6154" max="6154" width="11.5" style="12" customWidth="1"/>
    <col min="6155" max="6155" width="11" style="12" customWidth="1"/>
    <col min="6156" max="6156" width="6.33203125" style="12" customWidth="1"/>
    <col min="6157" max="6157" width="11.33203125" style="12" customWidth="1"/>
    <col min="6158" max="6158" width="14.6640625" style="12" bestFit="1" customWidth="1"/>
    <col min="6159" max="6401" width="8.83203125" style="12"/>
    <col min="6402" max="6402" width="14.5" style="12" customWidth="1"/>
    <col min="6403" max="6403" width="16.5" style="12" customWidth="1"/>
    <col min="6404" max="6404" width="14.5" style="12" customWidth="1"/>
    <col min="6405" max="6407" width="8.83203125" style="12"/>
    <col min="6408" max="6408" width="10.33203125" style="12" bestFit="1" customWidth="1"/>
    <col min="6409" max="6409" width="10.1640625" style="12" customWidth="1"/>
    <col min="6410" max="6410" width="11.5" style="12" customWidth="1"/>
    <col min="6411" max="6411" width="11" style="12" customWidth="1"/>
    <col min="6412" max="6412" width="6.33203125" style="12" customWidth="1"/>
    <col min="6413" max="6413" width="11.33203125" style="12" customWidth="1"/>
    <col min="6414" max="6414" width="14.6640625" style="12" bestFit="1" customWidth="1"/>
    <col min="6415" max="6657" width="8.83203125" style="12"/>
    <col min="6658" max="6658" width="14.5" style="12" customWidth="1"/>
    <col min="6659" max="6659" width="16.5" style="12" customWidth="1"/>
    <col min="6660" max="6660" width="14.5" style="12" customWidth="1"/>
    <col min="6661" max="6663" width="8.83203125" style="12"/>
    <col min="6664" max="6664" width="10.33203125" style="12" bestFit="1" customWidth="1"/>
    <col min="6665" max="6665" width="10.1640625" style="12" customWidth="1"/>
    <col min="6666" max="6666" width="11.5" style="12" customWidth="1"/>
    <col min="6667" max="6667" width="11" style="12" customWidth="1"/>
    <col min="6668" max="6668" width="6.33203125" style="12" customWidth="1"/>
    <col min="6669" max="6669" width="11.33203125" style="12" customWidth="1"/>
    <col min="6670" max="6670" width="14.6640625" style="12" bestFit="1" customWidth="1"/>
    <col min="6671" max="6913" width="8.83203125" style="12"/>
    <col min="6914" max="6914" width="14.5" style="12" customWidth="1"/>
    <col min="6915" max="6915" width="16.5" style="12" customWidth="1"/>
    <col min="6916" max="6916" width="14.5" style="12" customWidth="1"/>
    <col min="6917" max="6919" width="8.83203125" style="12"/>
    <col min="6920" max="6920" width="10.33203125" style="12" bestFit="1" customWidth="1"/>
    <col min="6921" max="6921" width="10.1640625" style="12" customWidth="1"/>
    <col min="6922" max="6922" width="11.5" style="12" customWidth="1"/>
    <col min="6923" max="6923" width="11" style="12" customWidth="1"/>
    <col min="6924" max="6924" width="6.33203125" style="12" customWidth="1"/>
    <col min="6925" max="6925" width="11.33203125" style="12" customWidth="1"/>
    <col min="6926" max="6926" width="14.6640625" style="12" bestFit="1" customWidth="1"/>
    <col min="6927" max="7169" width="8.83203125" style="12"/>
    <col min="7170" max="7170" width="14.5" style="12" customWidth="1"/>
    <col min="7171" max="7171" width="16.5" style="12" customWidth="1"/>
    <col min="7172" max="7172" width="14.5" style="12" customWidth="1"/>
    <col min="7173" max="7175" width="8.83203125" style="12"/>
    <col min="7176" max="7176" width="10.33203125" style="12" bestFit="1" customWidth="1"/>
    <col min="7177" max="7177" width="10.1640625" style="12" customWidth="1"/>
    <col min="7178" max="7178" width="11.5" style="12" customWidth="1"/>
    <col min="7179" max="7179" width="11" style="12" customWidth="1"/>
    <col min="7180" max="7180" width="6.33203125" style="12" customWidth="1"/>
    <col min="7181" max="7181" width="11.33203125" style="12" customWidth="1"/>
    <col min="7182" max="7182" width="14.6640625" style="12" bestFit="1" customWidth="1"/>
    <col min="7183" max="7425" width="8.83203125" style="12"/>
    <col min="7426" max="7426" width="14.5" style="12" customWidth="1"/>
    <col min="7427" max="7427" width="16.5" style="12" customWidth="1"/>
    <col min="7428" max="7428" width="14.5" style="12" customWidth="1"/>
    <col min="7429" max="7431" width="8.83203125" style="12"/>
    <col min="7432" max="7432" width="10.33203125" style="12" bestFit="1" customWidth="1"/>
    <col min="7433" max="7433" width="10.1640625" style="12" customWidth="1"/>
    <col min="7434" max="7434" width="11.5" style="12" customWidth="1"/>
    <col min="7435" max="7435" width="11" style="12" customWidth="1"/>
    <col min="7436" max="7436" width="6.33203125" style="12" customWidth="1"/>
    <col min="7437" max="7437" width="11.33203125" style="12" customWidth="1"/>
    <col min="7438" max="7438" width="14.6640625" style="12" bestFit="1" customWidth="1"/>
    <col min="7439" max="7681" width="8.83203125" style="12"/>
    <col min="7682" max="7682" width="14.5" style="12" customWidth="1"/>
    <col min="7683" max="7683" width="16.5" style="12" customWidth="1"/>
    <col min="7684" max="7684" width="14.5" style="12" customWidth="1"/>
    <col min="7685" max="7687" width="8.83203125" style="12"/>
    <col min="7688" max="7688" width="10.33203125" style="12" bestFit="1" customWidth="1"/>
    <col min="7689" max="7689" width="10.1640625" style="12" customWidth="1"/>
    <col min="7690" max="7690" width="11.5" style="12" customWidth="1"/>
    <col min="7691" max="7691" width="11" style="12" customWidth="1"/>
    <col min="7692" max="7692" width="6.33203125" style="12" customWidth="1"/>
    <col min="7693" max="7693" width="11.33203125" style="12" customWidth="1"/>
    <col min="7694" max="7694" width="14.6640625" style="12" bestFit="1" customWidth="1"/>
    <col min="7695" max="7937" width="8.83203125" style="12"/>
    <col min="7938" max="7938" width="14.5" style="12" customWidth="1"/>
    <col min="7939" max="7939" width="16.5" style="12" customWidth="1"/>
    <col min="7940" max="7940" width="14.5" style="12" customWidth="1"/>
    <col min="7941" max="7943" width="8.83203125" style="12"/>
    <col min="7944" max="7944" width="10.33203125" style="12" bestFit="1" customWidth="1"/>
    <col min="7945" max="7945" width="10.1640625" style="12" customWidth="1"/>
    <col min="7946" max="7946" width="11.5" style="12" customWidth="1"/>
    <col min="7947" max="7947" width="11" style="12" customWidth="1"/>
    <col min="7948" max="7948" width="6.33203125" style="12" customWidth="1"/>
    <col min="7949" max="7949" width="11.33203125" style="12" customWidth="1"/>
    <col min="7950" max="7950" width="14.6640625" style="12" bestFit="1" customWidth="1"/>
    <col min="7951" max="8193" width="8.83203125" style="12"/>
    <col min="8194" max="8194" width="14.5" style="12" customWidth="1"/>
    <col min="8195" max="8195" width="16.5" style="12" customWidth="1"/>
    <col min="8196" max="8196" width="14.5" style="12" customWidth="1"/>
    <col min="8197" max="8199" width="8.83203125" style="12"/>
    <col min="8200" max="8200" width="10.33203125" style="12" bestFit="1" customWidth="1"/>
    <col min="8201" max="8201" width="10.1640625" style="12" customWidth="1"/>
    <col min="8202" max="8202" width="11.5" style="12" customWidth="1"/>
    <col min="8203" max="8203" width="11" style="12" customWidth="1"/>
    <col min="8204" max="8204" width="6.33203125" style="12" customWidth="1"/>
    <col min="8205" max="8205" width="11.33203125" style="12" customWidth="1"/>
    <col min="8206" max="8206" width="14.6640625" style="12" bestFit="1" customWidth="1"/>
    <col min="8207" max="8449" width="8.83203125" style="12"/>
    <col min="8450" max="8450" width="14.5" style="12" customWidth="1"/>
    <col min="8451" max="8451" width="16.5" style="12" customWidth="1"/>
    <col min="8452" max="8452" width="14.5" style="12" customWidth="1"/>
    <col min="8453" max="8455" width="8.83203125" style="12"/>
    <col min="8456" max="8456" width="10.33203125" style="12" bestFit="1" customWidth="1"/>
    <col min="8457" max="8457" width="10.1640625" style="12" customWidth="1"/>
    <col min="8458" max="8458" width="11.5" style="12" customWidth="1"/>
    <col min="8459" max="8459" width="11" style="12" customWidth="1"/>
    <col min="8460" max="8460" width="6.33203125" style="12" customWidth="1"/>
    <col min="8461" max="8461" width="11.33203125" style="12" customWidth="1"/>
    <col min="8462" max="8462" width="14.6640625" style="12" bestFit="1" customWidth="1"/>
    <col min="8463" max="8705" width="8.83203125" style="12"/>
    <col min="8706" max="8706" width="14.5" style="12" customWidth="1"/>
    <col min="8707" max="8707" width="16.5" style="12" customWidth="1"/>
    <col min="8708" max="8708" width="14.5" style="12" customWidth="1"/>
    <col min="8709" max="8711" width="8.83203125" style="12"/>
    <col min="8712" max="8712" width="10.33203125" style="12" bestFit="1" customWidth="1"/>
    <col min="8713" max="8713" width="10.1640625" style="12" customWidth="1"/>
    <col min="8714" max="8714" width="11.5" style="12" customWidth="1"/>
    <col min="8715" max="8715" width="11" style="12" customWidth="1"/>
    <col min="8716" max="8716" width="6.33203125" style="12" customWidth="1"/>
    <col min="8717" max="8717" width="11.33203125" style="12" customWidth="1"/>
    <col min="8718" max="8718" width="14.6640625" style="12" bestFit="1" customWidth="1"/>
    <col min="8719" max="8961" width="8.83203125" style="12"/>
    <col min="8962" max="8962" width="14.5" style="12" customWidth="1"/>
    <col min="8963" max="8963" width="16.5" style="12" customWidth="1"/>
    <col min="8964" max="8964" width="14.5" style="12" customWidth="1"/>
    <col min="8965" max="8967" width="8.83203125" style="12"/>
    <col min="8968" max="8968" width="10.33203125" style="12" bestFit="1" customWidth="1"/>
    <col min="8969" max="8969" width="10.1640625" style="12" customWidth="1"/>
    <col min="8970" max="8970" width="11.5" style="12" customWidth="1"/>
    <col min="8971" max="8971" width="11" style="12" customWidth="1"/>
    <col min="8972" max="8972" width="6.33203125" style="12" customWidth="1"/>
    <col min="8973" max="8973" width="11.33203125" style="12" customWidth="1"/>
    <col min="8974" max="8974" width="14.6640625" style="12" bestFit="1" customWidth="1"/>
    <col min="8975" max="9217" width="8.83203125" style="12"/>
    <col min="9218" max="9218" width="14.5" style="12" customWidth="1"/>
    <col min="9219" max="9219" width="16.5" style="12" customWidth="1"/>
    <col min="9220" max="9220" width="14.5" style="12" customWidth="1"/>
    <col min="9221" max="9223" width="8.83203125" style="12"/>
    <col min="9224" max="9224" width="10.33203125" style="12" bestFit="1" customWidth="1"/>
    <col min="9225" max="9225" width="10.1640625" style="12" customWidth="1"/>
    <col min="9226" max="9226" width="11.5" style="12" customWidth="1"/>
    <col min="9227" max="9227" width="11" style="12" customWidth="1"/>
    <col min="9228" max="9228" width="6.33203125" style="12" customWidth="1"/>
    <col min="9229" max="9229" width="11.33203125" style="12" customWidth="1"/>
    <col min="9230" max="9230" width="14.6640625" style="12" bestFit="1" customWidth="1"/>
    <col min="9231" max="9473" width="8.83203125" style="12"/>
    <col min="9474" max="9474" width="14.5" style="12" customWidth="1"/>
    <col min="9475" max="9475" width="16.5" style="12" customWidth="1"/>
    <col min="9476" max="9476" width="14.5" style="12" customWidth="1"/>
    <col min="9477" max="9479" width="8.83203125" style="12"/>
    <col min="9480" max="9480" width="10.33203125" style="12" bestFit="1" customWidth="1"/>
    <col min="9481" max="9481" width="10.1640625" style="12" customWidth="1"/>
    <col min="9482" max="9482" width="11.5" style="12" customWidth="1"/>
    <col min="9483" max="9483" width="11" style="12" customWidth="1"/>
    <col min="9484" max="9484" width="6.33203125" style="12" customWidth="1"/>
    <col min="9485" max="9485" width="11.33203125" style="12" customWidth="1"/>
    <col min="9486" max="9486" width="14.6640625" style="12" bestFit="1" customWidth="1"/>
    <col min="9487" max="9729" width="8.83203125" style="12"/>
    <col min="9730" max="9730" width="14.5" style="12" customWidth="1"/>
    <col min="9731" max="9731" width="16.5" style="12" customWidth="1"/>
    <col min="9732" max="9732" width="14.5" style="12" customWidth="1"/>
    <col min="9733" max="9735" width="8.83203125" style="12"/>
    <col min="9736" max="9736" width="10.33203125" style="12" bestFit="1" customWidth="1"/>
    <col min="9737" max="9737" width="10.1640625" style="12" customWidth="1"/>
    <col min="9738" max="9738" width="11.5" style="12" customWidth="1"/>
    <col min="9739" max="9739" width="11" style="12" customWidth="1"/>
    <col min="9740" max="9740" width="6.33203125" style="12" customWidth="1"/>
    <col min="9741" max="9741" width="11.33203125" style="12" customWidth="1"/>
    <col min="9742" max="9742" width="14.6640625" style="12" bestFit="1" customWidth="1"/>
    <col min="9743" max="9985" width="8.83203125" style="12"/>
    <col min="9986" max="9986" width="14.5" style="12" customWidth="1"/>
    <col min="9987" max="9987" width="16.5" style="12" customWidth="1"/>
    <col min="9988" max="9988" width="14.5" style="12" customWidth="1"/>
    <col min="9989" max="9991" width="8.83203125" style="12"/>
    <col min="9992" max="9992" width="10.33203125" style="12" bestFit="1" customWidth="1"/>
    <col min="9993" max="9993" width="10.1640625" style="12" customWidth="1"/>
    <col min="9994" max="9994" width="11.5" style="12" customWidth="1"/>
    <col min="9995" max="9995" width="11" style="12" customWidth="1"/>
    <col min="9996" max="9996" width="6.33203125" style="12" customWidth="1"/>
    <col min="9997" max="9997" width="11.33203125" style="12" customWidth="1"/>
    <col min="9998" max="9998" width="14.6640625" style="12" bestFit="1" customWidth="1"/>
    <col min="9999" max="10241" width="8.83203125" style="12"/>
    <col min="10242" max="10242" width="14.5" style="12" customWidth="1"/>
    <col min="10243" max="10243" width="16.5" style="12" customWidth="1"/>
    <col min="10244" max="10244" width="14.5" style="12" customWidth="1"/>
    <col min="10245" max="10247" width="8.83203125" style="12"/>
    <col min="10248" max="10248" width="10.33203125" style="12" bestFit="1" customWidth="1"/>
    <col min="10249" max="10249" width="10.1640625" style="12" customWidth="1"/>
    <col min="10250" max="10250" width="11.5" style="12" customWidth="1"/>
    <col min="10251" max="10251" width="11" style="12" customWidth="1"/>
    <col min="10252" max="10252" width="6.33203125" style="12" customWidth="1"/>
    <col min="10253" max="10253" width="11.33203125" style="12" customWidth="1"/>
    <col min="10254" max="10254" width="14.6640625" style="12" bestFit="1" customWidth="1"/>
    <col min="10255" max="10497" width="8.83203125" style="12"/>
    <col min="10498" max="10498" width="14.5" style="12" customWidth="1"/>
    <col min="10499" max="10499" width="16.5" style="12" customWidth="1"/>
    <col min="10500" max="10500" width="14.5" style="12" customWidth="1"/>
    <col min="10501" max="10503" width="8.83203125" style="12"/>
    <col min="10504" max="10504" width="10.33203125" style="12" bestFit="1" customWidth="1"/>
    <col min="10505" max="10505" width="10.1640625" style="12" customWidth="1"/>
    <col min="10506" max="10506" width="11.5" style="12" customWidth="1"/>
    <col min="10507" max="10507" width="11" style="12" customWidth="1"/>
    <col min="10508" max="10508" width="6.33203125" style="12" customWidth="1"/>
    <col min="10509" max="10509" width="11.33203125" style="12" customWidth="1"/>
    <col min="10510" max="10510" width="14.6640625" style="12" bestFit="1" customWidth="1"/>
    <col min="10511" max="10753" width="8.83203125" style="12"/>
    <col min="10754" max="10754" width="14.5" style="12" customWidth="1"/>
    <col min="10755" max="10755" width="16.5" style="12" customWidth="1"/>
    <col min="10756" max="10756" width="14.5" style="12" customWidth="1"/>
    <col min="10757" max="10759" width="8.83203125" style="12"/>
    <col min="10760" max="10760" width="10.33203125" style="12" bestFit="1" customWidth="1"/>
    <col min="10761" max="10761" width="10.1640625" style="12" customWidth="1"/>
    <col min="10762" max="10762" width="11.5" style="12" customWidth="1"/>
    <col min="10763" max="10763" width="11" style="12" customWidth="1"/>
    <col min="10764" max="10764" width="6.33203125" style="12" customWidth="1"/>
    <col min="10765" max="10765" width="11.33203125" style="12" customWidth="1"/>
    <col min="10766" max="10766" width="14.6640625" style="12" bestFit="1" customWidth="1"/>
    <col min="10767" max="11009" width="8.83203125" style="12"/>
    <col min="11010" max="11010" width="14.5" style="12" customWidth="1"/>
    <col min="11011" max="11011" width="16.5" style="12" customWidth="1"/>
    <col min="11012" max="11012" width="14.5" style="12" customWidth="1"/>
    <col min="11013" max="11015" width="8.83203125" style="12"/>
    <col min="11016" max="11016" width="10.33203125" style="12" bestFit="1" customWidth="1"/>
    <col min="11017" max="11017" width="10.1640625" style="12" customWidth="1"/>
    <col min="11018" max="11018" width="11.5" style="12" customWidth="1"/>
    <col min="11019" max="11019" width="11" style="12" customWidth="1"/>
    <col min="11020" max="11020" width="6.33203125" style="12" customWidth="1"/>
    <col min="11021" max="11021" width="11.33203125" style="12" customWidth="1"/>
    <col min="11022" max="11022" width="14.6640625" style="12" bestFit="1" customWidth="1"/>
    <col min="11023" max="11265" width="8.83203125" style="12"/>
    <col min="11266" max="11266" width="14.5" style="12" customWidth="1"/>
    <col min="11267" max="11267" width="16.5" style="12" customWidth="1"/>
    <col min="11268" max="11268" width="14.5" style="12" customWidth="1"/>
    <col min="11269" max="11271" width="8.83203125" style="12"/>
    <col min="11272" max="11272" width="10.33203125" style="12" bestFit="1" customWidth="1"/>
    <col min="11273" max="11273" width="10.1640625" style="12" customWidth="1"/>
    <col min="11274" max="11274" width="11.5" style="12" customWidth="1"/>
    <col min="11275" max="11275" width="11" style="12" customWidth="1"/>
    <col min="11276" max="11276" width="6.33203125" style="12" customWidth="1"/>
    <col min="11277" max="11277" width="11.33203125" style="12" customWidth="1"/>
    <col min="11278" max="11278" width="14.6640625" style="12" bestFit="1" customWidth="1"/>
    <col min="11279" max="11521" width="8.83203125" style="12"/>
    <col min="11522" max="11522" width="14.5" style="12" customWidth="1"/>
    <col min="11523" max="11523" width="16.5" style="12" customWidth="1"/>
    <col min="11524" max="11524" width="14.5" style="12" customWidth="1"/>
    <col min="11525" max="11527" width="8.83203125" style="12"/>
    <col min="11528" max="11528" width="10.33203125" style="12" bestFit="1" customWidth="1"/>
    <col min="11529" max="11529" width="10.1640625" style="12" customWidth="1"/>
    <col min="11530" max="11530" width="11.5" style="12" customWidth="1"/>
    <col min="11531" max="11531" width="11" style="12" customWidth="1"/>
    <col min="11532" max="11532" width="6.33203125" style="12" customWidth="1"/>
    <col min="11533" max="11533" width="11.33203125" style="12" customWidth="1"/>
    <col min="11534" max="11534" width="14.6640625" style="12" bestFit="1" customWidth="1"/>
    <col min="11535" max="11777" width="8.83203125" style="12"/>
    <col min="11778" max="11778" width="14.5" style="12" customWidth="1"/>
    <col min="11779" max="11779" width="16.5" style="12" customWidth="1"/>
    <col min="11780" max="11780" width="14.5" style="12" customWidth="1"/>
    <col min="11781" max="11783" width="8.83203125" style="12"/>
    <col min="11784" max="11784" width="10.33203125" style="12" bestFit="1" customWidth="1"/>
    <col min="11785" max="11785" width="10.1640625" style="12" customWidth="1"/>
    <col min="11786" max="11786" width="11.5" style="12" customWidth="1"/>
    <col min="11787" max="11787" width="11" style="12" customWidth="1"/>
    <col min="11788" max="11788" width="6.33203125" style="12" customWidth="1"/>
    <col min="11789" max="11789" width="11.33203125" style="12" customWidth="1"/>
    <col min="11790" max="11790" width="14.6640625" style="12" bestFit="1" customWidth="1"/>
    <col min="11791" max="12033" width="8.83203125" style="12"/>
    <col min="12034" max="12034" width="14.5" style="12" customWidth="1"/>
    <col min="12035" max="12035" width="16.5" style="12" customWidth="1"/>
    <col min="12036" max="12036" width="14.5" style="12" customWidth="1"/>
    <col min="12037" max="12039" width="8.83203125" style="12"/>
    <col min="12040" max="12040" width="10.33203125" style="12" bestFit="1" customWidth="1"/>
    <col min="12041" max="12041" width="10.1640625" style="12" customWidth="1"/>
    <col min="12042" max="12042" width="11.5" style="12" customWidth="1"/>
    <col min="12043" max="12043" width="11" style="12" customWidth="1"/>
    <col min="12044" max="12044" width="6.33203125" style="12" customWidth="1"/>
    <col min="12045" max="12045" width="11.33203125" style="12" customWidth="1"/>
    <col min="12046" max="12046" width="14.6640625" style="12" bestFit="1" customWidth="1"/>
    <col min="12047" max="12289" width="8.83203125" style="12"/>
    <col min="12290" max="12290" width="14.5" style="12" customWidth="1"/>
    <col min="12291" max="12291" width="16.5" style="12" customWidth="1"/>
    <col min="12292" max="12292" width="14.5" style="12" customWidth="1"/>
    <col min="12293" max="12295" width="8.83203125" style="12"/>
    <col min="12296" max="12296" width="10.33203125" style="12" bestFit="1" customWidth="1"/>
    <col min="12297" max="12297" width="10.1640625" style="12" customWidth="1"/>
    <col min="12298" max="12298" width="11.5" style="12" customWidth="1"/>
    <col min="12299" max="12299" width="11" style="12" customWidth="1"/>
    <col min="12300" max="12300" width="6.33203125" style="12" customWidth="1"/>
    <col min="12301" max="12301" width="11.33203125" style="12" customWidth="1"/>
    <col min="12302" max="12302" width="14.6640625" style="12" bestFit="1" customWidth="1"/>
    <col min="12303" max="12545" width="8.83203125" style="12"/>
    <col min="12546" max="12546" width="14.5" style="12" customWidth="1"/>
    <col min="12547" max="12547" width="16.5" style="12" customWidth="1"/>
    <col min="12548" max="12548" width="14.5" style="12" customWidth="1"/>
    <col min="12549" max="12551" width="8.83203125" style="12"/>
    <col min="12552" max="12552" width="10.33203125" style="12" bestFit="1" customWidth="1"/>
    <col min="12553" max="12553" width="10.1640625" style="12" customWidth="1"/>
    <col min="12554" max="12554" width="11.5" style="12" customWidth="1"/>
    <col min="12555" max="12555" width="11" style="12" customWidth="1"/>
    <col min="12556" max="12556" width="6.33203125" style="12" customWidth="1"/>
    <col min="12557" max="12557" width="11.33203125" style="12" customWidth="1"/>
    <col min="12558" max="12558" width="14.6640625" style="12" bestFit="1" customWidth="1"/>
    <col min="12559" max="12801" width="8.83203125" style="12"/>
    <col min="12802" max="12802" width="14.5" style="12" customWidth="1"/>
    <col min="12803" max="12803" width="16.5" style="12" customWidth="1"/>
    <col min="12804" max="12804" width="14.5" style="12" customWidth="1"/>
    <col min="12805" max="12807" width="8.83203125" style="12"/>
    <col min="12808" max="12808" width="10.33203125" style="12" bestFit="1" customWidth="1"/>
    <col min="12809" max="12809" width="10.1640625" style="12" customWidth="1"/>
    <col min="12810" max="12810" width="11.5" style="12" customWidth="1"/>
    <col min="12811" max="12811" width="11" style="12" customWidth="1"/>
    <col min="12812" max="12812" width="6.33203125" style="12" customWidth="1"/>
    <col min="12813" max="12813" width="11.33203125" style="12" customWidth="1"/>
    <col min="12814" max="12814" width="14.6640625" style="12" bestFit="1" customWidth="1"/>
    <col min="12815" max="13057" width="8.83203125" style="12"/>
    <col min="13058" max="13058" width="14.5" style="12" customWidth="1"/>
    <col min="13059" max="13059" width="16.5" style="12" customWidth="1"/>
    <col min="13060" max="13060" width="14.5" style="12" customWidth="1"/>
    <col min="13061" max="13063" width="8.83203125" style="12"/>
    <col min="13064" max="13064" width="10.33203125" style="12" bestFit="1" customWidth="1"/>
    <col min="13065" max="13065" width="10.1640625" style="12" customWidth="1"/>
    <col min="13066" max="13066" width="11.5" style="12" customWidth="1"/>
    <col min="13067" max="13067" width="11" style="12" customWidth="1"/>
    <col min="13068" max="13068" width="6.33203125" style="12" customWidth="1"/>
    <col min="13069" max="13069" width="11.33203125" style="12" customWidth="1"/>
    <col min="13070" max="13070" width="14.6640625" style="12" bestFit="1" customWidth="1"/>
    <col min="13071" max="13313" width="8.83203125" style="12"/>
    <col min="13314" max="13314" width="14.5" style="12" customWidth="1"/>
    <col min="13315" max="13315" width="16.5" style="12" customWidth="1"/>
    <col min="13316" max="13316" width="14.5" style="12" customWidth="1"/>
    <col min="13317" max="13319" width="8.83203125" style="12"/>
    <col min="13320" max="13320" width="10.33203125" style="12" bestFit="1" customWidth="1"/>
    <col min="13321" max="13321" width="10.1640625" style="12" customWidth="1"/>
    <col min="13322" max="13322" width="11.5" style="12" customWidth="1"/>
    <col min="13323" max="13323" width="11" style="12" customWidth="1"/>
    <col min="13324" max="13324" width="6.33203125" style="12" customWidth="1"/>
    <col min="13325" max="13325" width="11.33203125" style="12" customWidth="1"/>
    <col min="13326" max="13326" width="14.6640625" style="12" bestFit="1" customWidth="1"/>
    <col min="13327" max="13569" width="8.83203125" style="12"/>
    <col min="13570" max="13570" width="14.5" style="12" customWidth="1"/>
    <col min="13571" max="13571" width="16.5" style="12" customWidth="1"/>
    <col min="13572" max="13572" width="14.5" style="12" customWidth="1"/>
    <col min="13573" max="13575" width="8.83203125" style="12"/>
    <col min="13576" max="13576" width="10.33203125" style="12" bestFit="1" customWidth="1"/>
    <col min="13577" max="13577" width="10.1640625" style="12" customWidth="1"/>
    <col min="13578" max="13578" width="11.5" style="12" customWidth="1"/>
    <col min="13579" max="13579" width="11" style="12" customWidth="1"/>
    <col min="13580" max="13580" width="6.33203125" style="12" customWidth="1"/>
    <col min="13581" max="13581" width="11.33203125" style="12" customWidth="1"/>
    <col min="13582" max="13582" width="14.6640625" style="12" bestFit="1" customWidth="1"/>
    <col min="13583" max="13825" width="8.83203125" style="12"/>
    <col min="13826" max="13826" width="14.5" style="12" customWidth="1"/>
    <col min="13827" max="13827" width="16.5" style="12" customWidth="1"/>
    <col min="13828" max="13828" width="14.5" style="12" customWidth="1"/>
    <col min="13829" max="13831" width="8.83203125" style="12"/>
    <col min="13832" max="13832" width="10.33203125" style="12" bestFit="1" customWidth="1"/>
    <col min="13833" max="13833" width="10.1640625" style="12" customWidth="1"/>
    <col min="13834" max="13834" width="11.5" style="12" customWidth="1"/>
    <col min="13835" max="13835" width="11" style="12" customWidth="1"/>
    <col min="13836" max="13836" width="6.33203125" style="12" customWidth="1"/>
    <col min="13837" max="13837" width="11.33203125" style="12" customWidth="1"/>
    <col min="13838" max="13838" width="14.6640625" style="12" bestFit="1" customWidth="1"/>
    <col min="13839" max="14081" width="8.83203125" style="12"/>
    <col min="14082" max="14082" width="14.5" style="12" customWidth="1"/>
    <col min="14083" max="14083" width="16.5" style="12" customWidth="1"/>
    <col min="14084" max="14084" width="14.5" style="12" customWidth="1"/>
    <col min="14085" max="14087" width="8.83203125" style="12"/>
    <col min="14088" max="14088" width="10.33203125" style="12" bestFit="1" customWidth="1"/>
    <col min="14089" max="14089" width="10.1640625" style="12" customWidth="1"/>
    <col min="14090" max="14090" width="11.5" style="12" customWidth="1"/>
    <col min="14091" max="14091" width="11" style="12" customWidth="1"/>
    <col min="14092" max="14092" width="6.33203125" style="12" customWidth="1"/>
    <col min="14093" max="14093" width="11.33203125" style="12" customWidth="1"/>
    <col min="14094" max="14094" width="14.6640625" style="12" bestFit="1" customWidth="1"/>
    <col min="14095" max="14337" width="8.83203125" style="12"/>
    <col min="14338" max="14338" width="14.5" style="12" customWidth="1"/>
    <col min="14339" max="14339" width="16.5" style="12" customWidth="1"/>
    <col min="14340" max="14340" width="14.5" style="12" customWidth="1"/>
    <col min="14341" max="14343" width="8.83203125" style="12"/>
    <col min="14344" max="14344" width="10.33203125" style="12" bestFit="1" customWidth="1"/>
    <col min="14345" max="14345" width="10.1640625" style="12" customWidth="1"/>
    <col min="14346" max="14346" width="11.5" style="12" customWidth="1"/>
    <col min="14347" max="14347" width="11" style="12" customWidth="1"/>
    <col min="14348" max="14348" width="6.33203125" style="12" customWidth="1"/>
    <col min="14349" max="14349" width="11.33203125" style="12" customWidth="1"/>
    <col min="14350" max="14350" width="14.6640625" style="12" bestFit="1" customWidth="1"/>
    <col min="14351" max="14593" width="8.83203125" style="12"/>
    <col min="14594" max="14594" width="14.5" style="12" customWidth="1"/>
    <col min="14595" max="14595" width="16.5" style="12" customWidth="1"/>
    <col min="14596" max="14596" width="14.5" style="12" customWidth="1"/>
    <col min="14597" max="14599" width="8.83203125" style="12"/>
    <col min="14600" max="14600" width="10.33203125" style="12" bestFit="1" customWidth="1"/>
    <col min="14601" max="14601" width="10.1640625" style="12" customWidth="1"/>
    <col min="14602" max="14602" width="11.5" style="12" customWidth="1"/>
    <col min="14603" max="14603" width="11" style="12" customWidth="1"/>
    <col min="14604" max="14604" width="6.33203125" style="12" customWidth="1"/>
    <col min="14605" max="14605" width="11.33203125" style="12" customWidth="1"/>
    <col min="14606" max="14606" width="14.6640625" style="12" bestFit="1" customWidth="1"/>
    <col min="14607" max="14849" width="8.83203125" style="12"/>
    <col min="14850" max="14850" width="14.5" style="12" customWidth="1"/>
    <col min="14851" max="14851" width="16.5" style="12" customWidth="1"/>
    <col min="14852" max="14852" width="14.5" style="12" customWidth="1"/>
    <col min="14853" max="14855" width="8.83203125" style="12"/>
    <col min="14856" max="14856" width="10.33203125" style="12" bestFit="1" customWidth="1"/>
    <col min="14857" max="14857" width="10.1640625" style="12" customWidth="1"/>
    <col min="14858" max="14858" width="11.5" style="12" customWidth="1"/>
    <col min="14859" max="14859" width="11" style="12" customWidth="1"/>
    <col min="14860" max="14860" width="6.33203125" style="12" customWidth="1"/>
    <col min="14861" max="14861" width="11.33203125" style="12" customWidth="1"/>
    <col min="14862" max="14862" width="14.6640625" style="12" bestFit="1" customWidth="1"/>
    <col min="14863" max="15105" width="8.83203125" style="12"/>
    <col min="15106" max="15106" width="14.5" style="12" customWidth="1"/>
    <col min="15107" max="15107" width="16.5" style="12" customWidth="1"/>
    <col min="15108" max="15108" width="14.5" style="12" customWidth="1"/>
    <col min="15109" max="15111" width="8.83203125" style="12"/>
    <col min="15112" max="15112" width="10.33203125" style="12" bestFit="1" customWidth="1"/>
    <col min="15113" max="15113" width="10.1640625" style="12" customWidth="1"/>
    <col min="15114" max="15114" width="11.5" style="12" customWidth="1"/>
    <col min="15115" max="15115" width="11" style="12" customWidth="1"/>
    <col min="15116" max="15116" width="6.33203125" style="12" customWidth="1"/>
    <col min="15117" max="15117" width="11.33203125" style="12" customWidth="1"/>
    <col min="15118" max="15118" width="14.6640625" style="12" bestFit="1" customWidth="1"/>
    <col min="15119" max="15361" width="8.83203125" style="12"/>
    <col min="15362" max="15362" width="14.5" style="12" customWidth="1"/>
    <col min="15363" max="15363" width="16.5" style="12" customWidth="1"/>
    <col min="15364" max="15364" width="14.5" style="12" customWidth="1"/>
    <col min="15365" max="15367" width="8.83203125" style="12"/>
    <col min="15368" max="15368" width="10.33203125" style="12" bestFit="1" customWidth="1"/>
    <col min="15369" max="15369" width="10.1640625" style="12" customWidth="1"/>
    <col min="15370" max="15370" width="11.5" style="12" customWidth="1"/>
    <col min="15371" max="15371" width="11" style="12" customWidth="1"/>
    <col min="15372" max="15372" width="6.33203125" style="12" customWidth="1"/>
    <col min="15373" max="15373" width="11.33203125" style="12" customWidth="1"/>
    <col min="15374" max="15374" width="14.6640625" style="12" bestFit="1" customWidth="1"/>
    <col min="15375" max="15617" width="8.83203125" style="12"/>
    <col min="15618" max="15618" width="14.5" style="12" customWidth="1"/>
    <col min="15619" max="15619" width="16.5" style="12" customWidth="1"/>
    <col min="15620" max="15620" width="14.5" style="12" customWidth="1"/>
    <col min="15621" max="15623" width="8.83203125" style="12"/>
    <col min="15624" max="15624" width="10.33203125" style="12" bestFit="1" customWidth="1"/>
    <col min="15625" max="15625" width="10.1640625" style="12" customWidth="1"/>
    <col min="15626" max="15626" width="11.5" style="12" customWidth="1"/>
    <col min="15627" max="15627" width="11" style="12" customWidth="1"/>
    <col min="15628" max="15628" width="6.33203125" style="12" customWidth="1"/>
    <col min="15629" max="15629" width="11.33203125" style="12" customWidth="1"/>
    <col min="15630" max="15630" width="14.6640625" style="12" bestFit="1" customWidth="1"/>
    <col min="15631" max="15873" width="8.83203125" style="12"/>
    <col min="15874" max="15874" width="14.5" style="12" customWidth="1"/>
    <col min="15875" max="15875" width="16.5" style="12" customWidth="1"/>
    <col min="15876" max="15876" width="14.5" style="12" customWidth="1"/>
    <col min="15877" max="15879" width="8.83203125" style="12"/>
    <col min="15880" max="15880" width="10.33203125" style="12" bestFit="1" customWidth="1"/>
    <col min="15881" max="15881" width="10.1640625" style="12" customWidth="1"/>
    <col min="15882" max="15882" width="11.5" style="12" customWidth="1"/>
    <col min="15883" max="15883" width="11" style="12" customWidth="1"/>
    <col min="15884" max="15884" width="6.33203125" style="12" customWidth="1"/>
    <col min="15885" max="15885" width="11.33203125" style="12" customWidth="1"/>
    <col min="15886" max="15886" width="14.6640625" style="12" bestFit="1" customWidth="1"/>
    <col min="15887" max="16129" width="8.83203125" style="12"/>
    <col min="16130" max="16130" width="14.5" style="12" customWidth="1"/>
    <col min="16131" max="16131" width="16.5" style="12" customWidth="1"/>
    <col min="16132" max="16132" width="14.5" style="12" customWidth="1"/>
    <col min="16133" max="16135" width="8.83203125" style="12"/>
    <col min="16136" max="16136" width="10.33203125" style="12" bestFit="1" customWidth="1"/>
    <col min="16137" max="16137" width="10.1640625" style="12" customWidth="1"/>
    <col min="16138" max="16138" width="11.5" style="12" customWidth="1"/>
    <col min="16139" max="16139" width="11" style="12" customWidth="1"/>
    <col min="16140" max="16140" width="6.33203125" style="12" customWidth="1"/>
    <col min="16141" max="16141" width="11.33203125" style="12" customWidth="1"/>
    <col min="16142" max="16142" width="14.6640625" style="12" bestFit="1" customWidth="1"/>
    <col min="16143" max="16384" width="8.83203125" style="12"/>
  </cols>
  <sheetData>
    <row r="1" spans="1:31" x14ac:dyDescent="0.15">
      <c r="A1" s="19" t="s">
        <v>69</v>
      </c>
    </row>
    <row r="2" spans="1:31" ht="28" x14ac:dyDescent="0.15">
      <c r="A2" s="1" t="s">
        <v>13</v>
      </c>
      <c r="B2" s="6" t="s">
        <v>3</v>
      </c>
      <c r="C2" s="6" t="s">
        <v>4</v>
      </c>
      <c r="D2" s="6" t="s">
        <v>5</v>
      </c>
      <c r="E2" s="154" t="s">
        <v>161</v>
      </c>
      <c r="F2" s="6" t="s">
        <v>6</v>
      </c>
      <c r="G2" s="6" t="s">
        <v>7</v>
      </c>
      <c r="H2" s="4" t="s">
        <v>14</v>
      </c>
      <c r="I2" s="2" t="s">
        <v>114</v>
      </c>
      <c r="J2" s="4" t="s">
        <v>8</v>
      </c>
      <c r="K2" s="4" t="s">
        <v>17</v>
      </c>
      <c r="L2" s="4" t="s">
        <v>9</v>
      </c>
      <c r="M2" s="4" t="s">
        <v>12</v>
      </c>
      <c r="N2" s="4" t="s">
        <v>10</v>
      </c>
      <c r="O2" s="4" t="s">
        <v>11</v>
      </c>
      <c r="Q2" s="1" t="s">
        <v>13</v>
      </c>
      <c r="R2" s="6" t="s">
        <v>3</v>
      </c>
      <c r="S2" s="6" t="s">
        <v>4</v>
      </c>
      <c r="T2" s="6" t="s">
        <v>5</v>
      </c>
      <c r="U2" s="154" t="s">
        <v>161</v>
      </c>
      <c r="V2" s="6" t="s">
        <v>6</v>
      </c>
      <c r="W2" s="6" t="s">
        <v>7</v>
      </c>
      <c r="X2" s="4" t="s">
        <v>14</v>
      </c>
      <c r="Y2" s="2" t="s">
        <v>114</v>
      </c>
      <c r="Z2" s="4" t="s">
        <v>8</v>
      </c>
      <c r="AA2" s="4" t="s">
        <v>17</v>
      </c>
      <c r="AB2" s="4" t="s">
        <v>9</v>
      </c>
      <c r="AC2" s="4" t="s">
        <v>12</v>
      </c>
      <c r="AD2" s="4" t="s">
        <v>10</v>
      </c>
      <c r="AE2" s="4" t="s">
        <v>11</v>
      </c>
    </row>
    <row r="3" spans="1:31" ht="15.75" customHeight="1" x14ac:dyDescent="0.15">
      <c r="A3" s="101" t="str">
        <f t="shared" ref="A3:A14" si="0">Q3</f>
        <v>2024-10</v>
      </c>
      <c r="B3" s="100">
        <f t="shared" ref="B3:N3" si="1">R3/1000000</f>
        <v>3.2171090000000002</v>
      </c>
      <c r="C3" s="100">
        <f t="shared" si="1"/>
        <v>8.2232389999999995</v>
      </c>
      <c r="D3" s="100">
        <f t="shared" si="1"/>
        <v>97.911221999999995</v>
      </c>
      <c r="E3" s="100">
        <f t="shared" si="1"/>
        <v>1.0779E-2</v>
      </c>
      <c r="F3" s="100">
        <f t="shared" si="1"/>
        <v>47.719147</v>
      </c>
      <c r="G3" s="100">
        <f t="shared" si="1"/>
        <v>1.6640470000000001</v>
      </c>
      <c r="H3" s="100">
        <f t="shared" si="1"/>
        <v>138.84015500000001</v>
      </c>
      <c r="I3" s="100">
        <f t="shared" si="1"/>
        <v>25.564720999999999</v>
      </c>
      <c r="J3" s="100">
        <f t="shared" si="1"/>
        <v>14.261692</v>
      </c>
      <c r="K3" s="100">
        <f t="shared" si="1"/>
        <v>6.2959120000000004</v>
      </c>
      <c r="L3" s="100">
        <f t="shared" si="1"/>
        <v>14.197374999999999</v>
      </c>
      <c r="M3" s="100">
        <f t="shared" si="1"/>
        <v>3.4144389999999998</v>
      </c>
      <c r="N3" s="100">
        <f t="shared" si="1"/>
        <v>9.8808000000000007E-2</v>
      </c>
      <c r="O3" s="100">
        <f t="shared" ref="O3:O15" si="2">SUM(B3:N3)</f>
        <v>361.41864500000003</v>
      </c>
      <c r="Q3" s="307" t="s">
        <v>194</v>
      </c>
      <c r="R3" s="279">
        <v>3217109</v>
      </c>
      <c r="S3" s="279">
        <v>8223239</v>
      </c>
      <c r="T3" s="279">
        <v>97911222</v>
      </c>
      <c r="U3" s="280">
        <v>10779</v>
      </c>
      <c r="V3" s="279">
        <v>47719147</v>
      </c>
      <c r="W3" s="279">
        <v>1664047</v>
      </c>
      <c r="X3" s="279">
        <v>138840155</v>
      </c>
      <c r="Y3" s="279">
        <v>25564721</v>
      </c>
      <c r="Z3" s="279">
        <v>14261692</v>
      </c>
      <c r="AA3" s="279">
        <v>6295912</v>
      </c>
      <c r="AB3" s="279">
        <v>14197375</v>
      </c>
      <c r="AC3" s="279">
        <v>3414439</v>
      </c>
      <c r="AD3" s="279">
        <v>98808</v>
      </c>
      <c r="AE3" s="118">
        <f t="shared" ref="AE3:AE14" si="3">SUM(R3:AD3)</f>
        <v>361418645</v>
      </c>
    </row>
    <row r="4" spans="1:31" x14ac:dyDescent="0.15">
      <c r="A4" s="101" t="str">
        <f t="shared" si="0"/>
        <v>2024-11</v>
      </c>
      <c r="B4" s="100">
        <f t="shared" ref="B4:B14" si="4">R4/1000000</f>
        <v>4.1921840000000001</v>
      </c>
      <c r="C4" s="100">
        <f t="shared" ref="C4:C14" si="5">S4/1000000</f>
        <v>8.0114350000000005</v>
      </c>
      <c r="D4" s="100">
        <f t="shared" ref="D4:D14" si="6">T4/1000000</f>
        <v>127.171837</v>
      </c>
      <c r="E4" s="100">
        <f t="shared" ref="E4:E14" si="7">U4/1000000</f>
        <v>7.326E-3</v>
      </c>
      <c r="F4" s="100">
        <f t="shared" ref="F4:F14" si="8">V4/1000000</f>
        <v>52.657722999999997</v>
      </c>
      <c r="G4" s="100">
        <f t="shared" ref="G4:G14" si="9">W4/1000000</f>
        <v>1.594503</v>
      </c>
      <c r="H4" s="100">
        <f t="shared" ref="H4:H14" si="10">X4/1000000</f>
        <v>179.829903</v>
      </c>
      <c r="I4" s="100">
        <f t="shared" ref="I4:I14" si="11">Y4/1000000</f>
        <v>27.746411999999999</v>
      </c>
      <c r="J4" s="100">
        <f t="shared" ref="J4:J14" si="12">Z4/1000000</f>
        <v>15.875802999999999</v>
      </c>
      <c r="K4" s="100">
        <f t="shared" ref="K4:K14" si="13">AA4/1000000</f>
        <v>7.2964549999999999</v>
      </c>
      <c r="L4" s="100">
        <f t="shared" ref="L4:L14" si="14">AB4/1000000</f>
        <v>25.308665000000001</v>
      </c>
      <c r="M4" s="100">
        <f t="shared" ref="M4:M14" si="15">AC4/1000000</f>
        <v>3.460585</v>
      </c>
      <c r="N4" s="100">
        <f t="shared" ref="N4:N14" si="16">AD4/1000000</f>
        <v>8.0945000000000003E-2</v>
      </c>
      <c r="O4" s="100">
        <f t="shared" si="2"/>
        <v>453.23377600000003</v>
      </c>
      <c r="Q4" s="307" t="s">
        <v>195</v>
      </c>
      <c r="R4" s="279">
        <v>4192184</v>
      </c>
      <c r="S4" s="279">
        <v>8011435</v>
      </c>
      <c r="T4" s="279">
        <v>127171837</v>
      </c>
      <c r="U4" s="280">
        <v>7326</v>
      </c>
      <c r="V4" s="279">
        <v>52657723</v>
      </c>
      <c r="W4" s="279">
        <v>1594503</v>
      </c>
      <c r="X4" s="279">
        <v>179829903</v>
      </c>
      <c r="Y4" s="279">
        <v>27746412</v>
      </c>
      <c r="Z4" s="279">
        <v>15875803</v>
      </c>
      <c r="AA4" s="279">
        <v>7296455</v>
      </c>
      <c r="AB4" s="279">
        <v>25308665</v>
      </c>
      <c r="AC4" s="279">
        <v>3460585</v>
      </c>
      <c r="AD4" s="279">
        <v>80945</v>
      </c>
      <c r="AE4" s="118">
        <f t="shared" si="3"/>
        <v>453233776</v>
      </c>
    </row>
    <row r="5" spans="1:31" x14ac:dyDescent="0.15">
      <c r="A5" s="101" t="str">
        <f t="shared" si="0"/>
        <v>2024-12</v>
      </c>
      <c r="B5" s="100">
        <f t="shared" si="4"/>
        <v>4.7960390000000004</v>
      </c>
      <c r="C5" s="100">
        <f t="shared" si="5"/>
        <v>9.0014459999999996</v>
      </c>
      <c r="D5" s="100">
        <f t="shared" si="6"/>
        <v>99.764341999999999</v>
      </c>
      <c r="E5" s="100">
        <f t="shared" si="7"/>
        <v>8.5210000000000008E-3</v>
      </c>
      <c r="F5" s="100">
        <f t="shared" si="8"/>
        <v>43.976751</v>
      </c>
      <c r="G5" s="100">
        <f t="shared" si="9"/>
        <v>1.1926319999999999</v>
      </c>
      <c r="H5" s="100">
        <f t="shared" si="10"/>
        <v>137.27811800000001</v>
      </c>
      <c r="I5" s="100">
        <f t="shared" si="11"/>
        <v>25.951547999999999</v>
      </c>
      <c r="J5" s="100">
        <f t="shared" si="12"/>
        <v>14.054318</v>
      </c>
      <c r="K5" s="100">
        <f t="shared" si="13"/>
        <v>7.4177590000000002</v>
      </c>
      <c r="L5" s="100">
        <f t="shared" si="14"/>
        <v>21.461224000000001</v>
      </c>
      <c r="M5" s="100">
        <f t="shared" si="15"/>
        <v>4.3452849999999996</v>
      </c>
      <c r="N5" s="100">
        <f t="shared" si="16"/>
        <v>7.5673000000000004E-2</v>
      </c>
      <c r="O5" s="100">
        <f t="shared" si="2"/>
        <v>369.32365600000003</v>
      </c>
      <c r="Q5" s="307" t="s">
        <v>196</v>
      </c>
      <c r="R5" s="279">
        <v>4796039</v>
      </c>
      <c r="S5" s="279">
        <v>9001446</v>
      </c>
      <c r="T5" s="279">
        <v>99764342</v>
      </c>
      <c r="U5" s="280">
        <v>8521</v>
      </c>
      <c r="V5" s="279">
        <v>43976751</v>
      </c>
      <c r="W5" s="279">
        <v>1192632</v>
      </c>
      <c r="X5" s="279">
        <v>137278118</v>
      </c>
      <c r="Y5" s="279">
        <v>25951548</v>
      </c>
      <c r="Z5" s="279">
        <v>14054318</v>
      </c>
      <c r="AA5" s="279">
        <v>7417759</v>
      </c>
      <c r="AB5" s="279">
        <v>21461224</v>
      </c>
      <c r="AC5" s="279">
        <v>4345285</v>
      </c>
      <c r="AD5" s="279">
        <v>75673</v>
      </c>
      <c r="AE5" s="118">
        <f t="shared" si="3"/>
        <v>369323656</v>
      </c>
    </row>
    <row r="6" spans="1:31" x14ac:dyDescent="0.15">
      <c r="A6" s="101" t="str">
        <f t="shared" si="0"/>
        <v>2025-01</v>
      </c>
      <c r="B6" s="100">
        <f t="shared" si="4"/>
        <v>4.9996580000000002</v>
      </c>
      <c r="C6" s="100">
        <f t="shared" si="5"/>
        <v>8.5184189999999997</v>
      </c>
      <c r="D6" s="100">
        <f t="shared" si="6"/>
        <v>101.508762</v>
      </c>
      <c r="E6" s="100">
        <f t="shared" si="7"/>
        <v>1.2923E-2</v>
      </c>
      <c r="F6" s="100">
        <f t="shared" si="8"/>
        <v>45.321604000000001</v>
      </c>
      <c r="G6" s="100">
        <f t="shared" si="9"/>
        <v>0.24948899999999999</v>
      </c>
      <c r="H6" s="100">
        <f t="shared" si="10"/>
        <v>119.08197699999999</v>
      </c>
      <c r="I6" s="100">
        <f t="shared" si="11"/>
        <v>56.916314</v>
      </c>
      <c r="J6" s="100">
        <f t="shared" si="12"/>
        <v>11.097796000000001</v>
      </c>
      <c r="K6" s="100">
        <f t="shared" si="13"/>
        <v>6.1274280000000001</v>
      </c>
      <c r="L6" s="100">
        <f t="shared" si="14"/>
        <v>16.025013999999999</v>
      </c>
      <c r="M6" s="100">
        <f t="shared" si="15"/>
        <v>5.473884</v>
      </c>
      <c r="N6" s="100">
        <f t="shared" si="16"/>
        <v>8.7253999999999998E-2</v>
      </c>
      <c r="O6" s="100">
        <f t="shared" si="2"/>
        <v>375.42052200000001</v>
      </c>
      <c r="Q6" s="307" t="s">
        <v>197</v>
      </c>
      <c r="R6" s="279">
        <v>4999658</v>
      </c>
      <c r="S6" s="279">
        <v>8518419</v>
      </c>
      <c r="T6" s="279">
        <v>101508762</v>
      </c>
      <c r="U6" s="280">
        <v>12923</v>
      </c>
      <c r="V6" s="279">
        <v>45321604</v>
      </c>
      <c r="W6" s="279">
        <v>249489</v>
      </c>
      <c r="X6" s="279">
        <v>119081977</v>
      </c>
      <c r="Y6" s="279">
        <v>56916314</v>
      </c>
      <c r="Z6" s="279">
        <v>11097796</v>
      </c>
      <c r="AA6" s="279">
        <v>6127428</v>
      </c>
      <c r="AB6" s="279">
        <v>16025014</v>
      </c>
      <c r="AC6" s="279">
        <v>5473884</v>
      </c>
      <c r="AD6" s="279">
        <v>87254</v>
      </c>
      <c r="AE6" s="118">
        <f t="shared" si="3"/>
        <v>375420522</v>
      </c>
    </row>
    <row r="7" spans="1:31" x14ac:dyDescent="0.15">
      <c r="A7" s="101" t="str">
        <f t="shared" si="0"/>
        <v>2025-02</v>
      </c>
      <c r="B7" s="100">
        <f t="shared" si="4"/>
        <v>7.1010299999999997</v>
      </c>
      <c r="C7" s="100">
        <f t="shared" si="5"/>
        <v>7.7582120000000003</v>
      </c>
      <c r="D7" s="100">
        <f t="shared" si="6"/>
        <v>89.937601999999998</v>
      </c>
      <c r="E7" s="100">
        <f t="shared" si="7"/>
        <v>2.7095999999999999E-2</v>
      </c>
      <c r="F7" s="100">
        <f t="shared" si="8"/>
        <v>49.392156</v>
      </c>
      <c r="G7" s="100">
        <f t="shared" si="9"/>
        <v>0.64500500000000005</v>
      </c>
      <c r="H7" s="100">
        <f t="shared" si="10"/>
        <v>130.46230299999999</v>
      </c>
      <c r="I7" s="100">
        <f t="shared" si="11"/>
        <v>32.713731000000003</v>
      </c>
      <c r="J7" s="100">
        <f t="shared" si="12"/>
        <v>20.363212999999998</v>
      </c>
      <c r="K7" s="100">
        <f t="shared" si="13"/>
        <v>6.5719620000000001</v>
      </c>
      <c r="L7" s="100">
        <f t="shared" si="14"/>
        <v>13.172188999999999</v>
      </c>
      <c r="M7" s="100">
        <f t="shared" si="15"/>
        <v>6.237679</v>
      </c>
      <c r="N7" s="100">
        <f t="shared" si="16"/>
        <v>0.111253</v>
      </c>
      <c r="O7" s="100">
        <f t="shared" si="2"/>
        <v>364.49343099999993</v>
      </c>
      <c r="Q7" s="307" t="s">
        <v>198</v>
      </c>
      <c r="R7" s="279">
        <v>7101030</v>
      </c>
      <c r="S7" s="279">
        <v>7758212</v>
      </c>
      <c r="T7" s="279">
        <v>89937602</v>
      </c>
      <c r="U7" s="280">
        <v>27096</v>
      </c>
      <c r="V7" s="279">
        <v>49392156</v>
      </c>
      <c r="W7" s="279">
        <v>645005</v>
      </c>
      <c r="X7" s="279">
        <v>130462303</v>
      </c>
      <c r="Y7" s="279">
        <v>32713731</v>
      </c>
      <c r="Z7" s="279">
        <v>20363213</v>
      </c>
      <c r="AA7" s="279">
        <v>6571962</v>
      </c>
      <c r="AB7" s="279">
        <v>13172189</v>
      </c>
      <c r="AC7" s="279">
        <v>6237679</v>
      </c>
      <c r="AD7" s="279">
        <v>111253</v>
      </c>
      <c r="AE7" s="118">
        <f t="shared" si="3"/>
        <v>364493431</v>
      </c>
    </row>
    <row r="8" spans="1:31" x14ac:dyDescent="0.15">
      <c r="A8" s="101" t="str">
        <f t="shared" si="0"/>
        <v>2025-03</v>
      </c>
      <c r="B8" s="100">
        <f t="shared" si="4"/>
        <v>6.3138199999999998</v>
      </c>
      <c r="C8" s="100">
        <f t="shared" si="5"/>
        <v>9.2585379999999997</v>
      </c>
      <c r="D8" s="100">
        <f t="shared" si="6"/>
        <v>94.404848000000001</v>
      </c>
      <c r="E8" s="100">
        <f t="shared" si="7"/>
        <v>1.1596E-2</v>
      </c>
      <c r="F8" s="100">
        <f t="shared" si="8"/>
        <v>73.808875</v>
      </c>
      <c r="G8" s="100">
        <f t="shared" si="9"/>
        <v>2.7966440000000001</v>
      </c>
      <c r="H8" s="100">
        <f t="shared" si="10"/>
        <v>440.794062</v>
      </c>
      <c r="I8" s="100">
        <f t="shared" si="11"/>
        <v>28.769673000000001</v>
      </c>
      <c r="J8" s="100">
        <f t="shared" si="12"/>
        <v>29.035857</v>
      </c>
      <c r="K8" s="100">
        <f t="shared" si="13"/>
        <v>5.7936269999999999</v>
      </c>
      <c r="L8" s="100">
        <f t="shared" si="14"/>
        <v>12.712120000000001</v>
      </c>
      <c r="M8" s="100">
        <f t="shared" si="15"/>
        <v>8.5244549999999997</v>
      </c>
      <c r="N8" s="100">
        <f t="shared" si="16"/>
        <v>0.31567800000000001</v>
      </c>
      <c r="O8" s="100">
        <f t="shared" si="2"/>
        <v>712.53979300000003</v>
      </c>
      <c r="Q8" s="307" t="s">
        <v>199</v>
      </c>
      <c r="R8" s="279">
        <v>6313820</v>
      </c>
      <c r="S8" s="279">
        <v>9258538</v>
      </c>
      <c r="T8" s="279">
        <v>94404848</v>
      </c>
      <c r="U8" s="280">
        <v>11596</v>
      </c>
      <c r="V8" s="279">
        <v>73808875</v>
      </c>
      <c r="W8" s="279">
        <v>2796644</v>
      </c>
      <c r="X8" s="279">
        <v>440794062</v>
      </c>
      <c r="Y8" s="279">
        <v>28769673</v>
      </c>
      <c r="Z8" s="279">
        <v>29035857</v>
      </c>
      <c r="AA8" s="279">
        <v>5793627</v>
      </c>
      <c r="AB8" s="279">
        <v>12712120</v>
      </c>
      <c r="AC8" s="279">
        <v>8524455</v>
      </c>
      <c r="AD8" s="279">
        <v>315678</v>
      </c>
      <c r="AE8" s="118">
        <f t="shared" si="3"/>
        <v>712539793</v>
      </c>
    </row>
    <row r="9" spans="1:31" x14ac:dyDescent="0.15">
      <c r="A9" s="101" t="str">
        <f t="shared" si="0"/>
        <v>2025-04</v>
      </c>
      <c r="B9" s="100">
        <f t="shared" si="4"/>
        <v>6.053096</v>
      </c>
      <c r="C9" s="100">
        <f t="shared" si="5"/>
        <v>8.8372820000000001</v>
      </c>
      <c r="D9" s="100">
        <f t="shared" si="6"/>
        <v>90.623217999999994</v>
      </c>
      <c r="E9" s="100">
        <f t="shared" si="7"/>
        <v>3.375E-3</v>
      </c>
      <c r="F9" s="100">
        <f t="shared" si="8"/>
        <v>70.096767999999997</v>
      </c>
      <c r="G9" s="100">
        <f t="shared" si="9"/>
        <v>2.9245399999999999</v>
      </c>
      <c r="H9" s="100">
        <f t="shared" si="10"/>
        <v>283.20291400000002</v>
      </c>
      <c r="I9" s="100">
        <f t="shared" si="11"/>
        <v>31.072379999999999</v>
      </c>
      <c r="J9" s="100">
        <f t="shared" si="12"/>
        <v>36.608204000000001</v>
      </c>
      <c r="K9" s="100">
        <f t="shared" si="13"/>
        <v>7.4714400000000003</v>
      </c>
      <c r="L9" s="100">
        <f t="shared" si="14"/>
        <v>26.578357</v>
      </c>
      <c r="M9" s="100">
        <f t="shared" si="15"/>
        <v>10.690886000000001</v>
      </c>
      <c r="N9" s="100">
        <f t="shared" si="16"/>
        <v>9.3342999999999995E-2</v>
      </c>
      <c r="O9" s="100">
        <f t="shared" si="2"/>
        <v>574.25580300000001</v>
      </c>
      <c r="Q9" s="307" t="s">
        <v>200</v>
      </c>
      <c r="R9" s="279">
        <v>6053096</v>
      </c>
      <c r="S9" s="279">
        <v>8837282</v>
      </c>
      <c r="T9" s="279">
        <v>90623218</v>
      </c>
      <c r="U9" s="280">
        <v>3375</v>
      </c>
      <c r="V9" s="279">
        <v>70096768</v>
      </c>
      <c r="W9" s="279">
        <v>2924540</v>
      </c>
      <c r="X9" s="279">
        <v>283202914</v>
      </c>
      <c r="Y9" s="279">
        <v>31072380</v>
      </c>
      <c r="Z9" s="279">
        <v>36608204</v>
      </c>
      <c r="AA9" s="279">
        <v>7471440</v>
      </c>
      <c r="AB9" s="279">
        <v>26578357</v>
      </c>
      <c r="AC9" s="279">
        <v>10690886</v>
      </c>
      <c r="AD9" s="279">
        <v>93343</v>
      </c>
      <c r="AE9" s="118">
        <f t="shared" si="3"/>
        <v>574255803</v>
      </c>
    </row>
    <row r="10" spans="1:31" x14ac:dyDescent="0.15">
      <c r="A10" s="101" t="str">
        <f t="shared" si="0"/>
        <v>2025-05</v>
      </c>
      <c r="B10" s="100">
        <f t="shared" si="4"/>
        <v>7.758445</v>
      </c>
      <c r="C10" s="100">
        <f t="shared" si="5"/>
        <v>15.79129</v>
      </c>
      <c r="D10" s="100">
        <f t="shared" si="6"/>
        <v>96.178685000000002</v>
      </c>
      <c r="E10" s="100">
        <f t="shared" si="7"/>
        <v>1.0163E-2</v>
      </c>
      <c r="F10" s="100">
        <f t="shared" si="8"/>
        <v>152.17306600000001</v>
      </c>
      <c r="G10" s="100">
        <f t="shared" si="9"/>
        <v>0.57965900000000004</v>
      </c>
      <c r="H10" s="100">
        <f t="shared" si="10"/>
        <v>382.81611900000001</v>
      </c>
      <c r="I10" s="100">
        <f t="shared" si="11"/>
        <v>102.282296</v>
      </c>
      <c r="J10" s="100">
        <f t="shared" si="12"/>
        <v>38.291753</v>
      </c>
      <c r="K10" s="100">
        <f t="shared" si="13"/>
        <v>7.6440260000000002</v>
      </c>
      <c r="L10" s="100">
        <f t="shared" si="14"/>
        <v>10.415457</v>
      </c>
      <c r="M10" s="100">
        <f t="shared" si="15"/>
        <v>12.215731999999999</v>
      </c>
      <c r="N10" s="100">
        <f t="shared" si="16"/>
        <v>7.9471E-2</v>
      </c>
      <c r="O10" s="100">
        <f t="shared" si="2"/>
        <v>826.23616199999992</v>
      </c>
      <c r="Q10" s="307" t="s">
        <v>201</v>
      </c>
      <c r="R10" s="279">
        <v>7758445</v>
      </c>
      <c r="S10" s="279">
        <v>15791290</v>
      </c>
      <c r="T10" s="279">
        <v>96178685</v>
      </c>
      <c r="U10" s="280">
        <v>10163</v>
      </c>
      <c r="V10" s="279">
        <v>152173066</v>
      </c>
      <c r="W10" s="279">
        <v>579659</v>
      </c>
      <c r="X10" s="279">
        <v>382816119</v>
      </c>
      <c r="Y10" s="279">
        <v>102282296</v>
      </c>
      <c r="Z10" s="279">
        <v>38291753</v>
      </c>
      <c r="AA10" s="279">
        <v>7644026</v>
      </c>
      <c r="AB10" s="279">
        <v>10415457</v>
      </c>
      <c r="AC10" s="279">
        <v>12215732</v>
      </c>
      <c r="AD10" s="279">
        <v>79471</v>
      </c>
      <c r="AE10" s="118">
        <f t="shared" si="3"/>
        <v>826236162</v>
      </c>
    </row>
    <row r="11" spans="1:31" x14ac:dyDescent="0.15">
      <c r="A11" s="101" t="str">
        <f t="shared" si="0"/>
        <v>2025-06</v>
      </c>
      <c r="B11" s="100">
        <f t="shared" si="4"/>
        <v>5.8986689999999999</v>
      </c>
      <c r="C11" s="100">
        <f t="shared" si="5"/>
        <v>12.151255000000001</v>
      </c>
      <c r="D11" s="100">
        <f t="shared" si="6"/>
        <v>95.998930000000001</v>
      </c>
      <c r="E11" s="100">
        <f t="shared" si="7"/>
        <v>9.6100000000000005E-3</v>
      </c>
      <c r="F11" s="100">
        <f t="shared" si="8"/>
        <v>62.049667999999997</v>
      </c>
      <c r="G11" s="100">
        <f t="shared" si="9"/>
        <v>0.98856100000000002</v>
      </c>
      <c r="H11" s="100">
        <f t="shared" si="10"/>
        <v>391.83409999999998</v>
      </c>
      <c r="I11" s="100">
        <f t="shared" si="11"/>
        <v>188.634962</v>
      </c>
      <c r="J11" s="100">
        <f t="shared" si="12"/>
        <v>33.254441</v>
      </c>
      <c r="K11" s="100">
        <f t="shared" si="13"/>
        <v>6.6815490000000004</v>
      </c>
      <c r="L11" s="100">
        <f t="shared" si="14"/>
        <v>6.8907170000000004</v>
      </c>
      <c r="M11" s="100">
        <f t="shared" si="15"/>
        <v>71.396876000000006</v>
      </c>
      <c r="N11" s="100">
        <f t="shared" si="16"/>
        <v>7.6036999999999993E-2</v>
      </c>
      <c r="O11" s="100">
        <f t="shared" si="2"/>
        <v>875.86537500000009</v>
      </c>
      <c r="Q11" s="307" t="s">
        <v>202</v>
      </c>
      <c r="R11" s="279">
        <v>5898669</v>
      </c>
      <c r="S11" s="279">
        <v>12151255</v>
      </c>
      <c r="T11" s="279">
        <v>95998930</v>
      </c>
      <c r="U11" s="280">
        <v>9610</v>
      </c>
      <c r="V11" s="279">
        <v>62049668</v>
      </c>
      <c r="W11" s="279">
        <v>988561</v>
      </c>
      <c r="X11" s="279">
        <v>391834100</v>
      </c>
      <c r="Y11" s="279">
        <v>188634962</v>
      </c>
      <c r="Z11" s="279">
        <v>33254441</v>
      </c>
      <c r="AA11" s="279">
        <v>6681549</v>
      </c>
      <c r="AB11" s="279">
        <v>6890717</v>
      </c>
      <c r="AC11" s="279">
        <v>71396876</v>
      </c>
      <c r="AD11" s="279">
        <v>76037</v>
      </c>
      <c r="AE11" s="118">
        <f t="shared" si="3"/>
        <v>875865375</v>
      </c>
    </row>
    <row r="12" spans="1:31" x14ac:dyDescent="0.15">
      <c r="A12" s="101" t="str">
        <f t="shared" si="0"/>
        <v>2025-07</v>
      </c>
      <c r="B12" s="100">
        <f t="shared" si="4"/>
        <v>5.4579500000000003</v>
      </c>
      <c r="C12" s="100">
        <f t="shared" si="5"/>
        <v>8.9746140000000008</v>
      </c>
      <c r="D12" s="100">
        <f t="shared" si="6"/>
        <v>97.950338000000002</v>
      </c>
      <c r="E12" s="100">
        <f t="shared" si="7"/>
        <v>3.8088999999999998E-2</v>
      </c>
      <c r="F12" s="100">
        <f t="shared" si="8"/>
        <v>63.802779000000001</v>
      </c>
      <c r="G12" s="100">
        <f t="shared" si="9"/>
        <v>1.734837</v>
      </c>
      <c r="H12" s="100">
        <f t="shared" si="10"/>
        <v>629.15350000000001</v>
      </c>
      <c r="I12" s="100">
        <f t="shared" si="11"/>
        <v>199.176007</v>
      </c>
      <c r="J12" s="100">
        <f t="shared" si="12"/>
        <v>53.115884999999999</v>
      </c>
      <c r="K12" s="100">
        <f t="shared" si="13"/>
        <v>7.1985760000000001</v>
      </c>
      <c r="L12" s="100">
        <f t="shared" si="14"/>
        <v>11.529367000000001</v>
      </c>
      <c r="M12" s="100">
        <f t="shared" si="15"/>
        <v>11.522627</v>
      </c>
      <c r="N12" s="100">
        <f t="shared" si="16"/>
        <v>8.5508000000000001E-2</v>
      </c>
      <c r="O12" s="100">
        <f t="shared" si="2"/>
        <v>1089.7400770000002</v>
      </c>
      <c r="Q12" s="307" t="s">
        <v>203</v>
      </c>
      <c r="R12" s="279">
        <v>5457950</v>
      </c>
      <c r="S12" s="279">
        <v>8974614</v>
      </c>
      <c r="T12" s="279">
        <v>97950338</v>
      </c>
      <c r="U12" s="280">
        <v>38089</v>
      </c>
      <c r="V12" s="279">
        <v>63802779</v>
      </c>
      <c r="W12" s="279">
        <v>1734837</v>
      </c>
      <c r="X12" s="279">
        <v>629153500</v>
      </c>
      <c r="Y12" s="279">
        <v>199176007</v>
      </c>
      <c r="Z12" s="279">
        <v>53115885</v>
      </c>
      <c r="AA12" s="279">
        <v>7198576</v>
      </c>
      <c r="AB12" s="279">
        <v>11529367</v>
      </c>
      <c r="AC12" s="279">
        <v>11522627</v>
      </c>
      <c r="AD12" s="279">
        <v>85508</v>
      </c>
      <c r="AE12" s="118">
        <f t="shared" si="3"/>
        <v>1089740077</v>
      </c>
    </row>
    <row r="13" spans="1:31" x14ac:dyDescent="0.15">
      <c r="A13" s="101" t="str">
        <f t="shared" si="0"/>
        <v>2025-08</v>
      </c>
      <c r="B13" s="100">
        <f t="shared" si="4"/>
        <v>3.872487</v>
      </c>
      <c r="C13" s="100">
        <f t="shared" si="5"/>
        <v>15.649315</v>
      </c>
      <c r="D13" s="100">
        <f t="shared" si="6"/>
        <v>100.70367</v>
      </c>
      <c r="E13" s="100">
        <f t="shared" si="7"/>
        <v>9.3270000000000002E-3</v>
      </c>
      <c r="F13" s="100">
        <f t="shared" si="8"/>
        <v>56.675632</v>
      </c>
      <c r="G13" s="100">
        <f t="shared" si="9"/>
        <v>0.55365200000000003</v>
      </c>
      <c r="H13" s="100">
        <f t="shared" si="10"/>
        <v>467.55895800000002</v>
      </c>
      <c r="I13" s="100">
        <f t="shared" si="11"/>
        <v>115.899213</v>
      </c>
      <c r="J13" s="100">
        <f t="shared" si="12"/>
        <v>23.598314999999999</v>
      </c>
      <c r="K13" s="100">
        <f t="shared" si="13"/>
        <v>6.7607920000000004</v>
      </c>
      <c r="L13" s="100">
        <f t="shared" si="14"/>
        <v>19.691089999999999</v>
      </c>
      <c r="M13" s="100">
        <f t="shared" si="15"/>
        <v>9.2928719999999991</v>
      </c>
      <c r="N13" s="100">
        <f t="shared" si="16"/>
        <v>0.123902</v>
      </c>
      <c r="O13" s="100">
        <f t="shared" si="2"/>
        <v>820.38922500000012</v>
      </c>
      <c r="Q13" s="307" t="s">
        <v>204</v>
      </c>
      <c r="R13" s="279">
        <v>3872487</v>
      </c>
      <c r="S13" s="279">
        <v>15649315</v>
      </c>
      <c r="T13" s="279">
        <v>100703670</v>
      </c>
      <c r="U13" s="280">
        <v>9327</v>
      </c>
      <c r="V13" s="279">
        <v>56675632</v>
      </c>
      <c r="W13" s="279">
        <v>553652</v>
      </c>
      <c r="X13" s="279">
        <v>467558958</v>
      </c>
      <c r="Y13" s="279">
        <v>115899213</v>
      </c>
      <c r="Z13" s="279">
        <v>23598315</v>
      </c>
      <c r="AA13" s="279">
        <v>6760792</v>
      </c>
      <c r="AB13" s="279">
        <v>19691090</v>
      </c>
      <c r="AC13" s="279">
        <v>9292872</v>
      </c>
      <c r="AD13" s="279">
        <v>123902</v>
      </c>
      <c r="AE13" s="118">
        <f t="shared" si="3"/>
        <v>820389225</v>
      </c>
    </row>
    <row r="14" spans="1:31" x14ac:dyDescent="0.15">
      <c r="A14" s="101" t="str">
        <f t="shared" si="0"/>
        <v>2025-09</v>
      </c>
      <c r="B14" s="100">
        <f t="shared" si="4"/>
        <v>4.7782710000000002</v>
      </c>
      <c r="C14" s="100">
        <f t="shared" si="5"/>
        <v>107.88572499999999</v>
      </c>
      <c r="D14" s="100">
        <f t="shared" si="6"/>
        <v>100.799503</v>
      </c>
      <c r="E14" s="100">
        <f t="shared" si="7"/>
        <v>6.6800000000000002E-3</v>
      </c>
      <c r="F14" s="100">
        <f t="shared" si="8"/>
        <v>59.853400000000001</v>
      </c>
      <c r="G14" s="100">
        <f t="shared" si="9"/>
        <v>1.5655330000000001</v>
      </c>
      <c r="H14" s="100">
        <f t="shared" si="10"/>
        <v>222.38673600000001</v>
      </c>
      <c r="I14" s="100">
        <f t="shared" si="11"/>
        <v>63.523679000000001</v>
      </c>
      <c r="J14" s="100">
        <f t="shared" si="12"/>
        <v>18.740856000000001</v>
      </c>
      <c r="K14" s="100">
        <f t="shared" si="13"/>
        <v>8.5903939999999999</v>
      </c>
      <c r="L14" s="100">
        <f t="shared" si="14"/>
        <v>14.560517000000001</v>
      </c>
      <c r="M14" s="100">
        <f t="shared" si="15"/>
        <v>17.369067000000001</v>
      </c>
      <c r="N14" s="100">
        <f t="shared" si="16"/>
        <v>6.6210000000000005E-2</v>
      </c>
      <c r="O14" s="100">
        <f t="shared" si="2"/>
        <v>620.1265709999999</v>
      </c>
      <c r="Q14" s="307" t="s">
        <v>205</v>
      </c>
      <c r="R14" s="279">
        <v>4778271</v>
      </c>
      <c r="S14" s="279">
        <v>107885725</v>
      </c>
      <c r="T14" s="279">
        <v>100799503</v>
      </c>
      <c r="U14" s="280">
        <v>6680</v>
      </c>
      <c r="V14" s="279">
        <v>59853400</v>
      </c>
      <c r="W14" s="279">
        <v>1565533</v>
      </c>
      <c r="X14" s="279">
        <v>222386736</v>
      </c>
      <c r="Y14" s="279">
        <v>63523679</v>
      </c>
      <c r="Z14" s="279">
        <v>18740856</v>
      </c>
      <c r="AA14" s="279">
        <v>8590394</v>
      </c>
      <c r="AB14" s="279">
        <v>14560517</v>
      </c>
      <c r="AC14" s="279">
        <v>17369067</v>
      </c>
      <c r="AD14" s="279">
        <v>66210</v>
      </c>
      <c r="AE14" s="118">
        <f t="shared" si="3"/>
        <v>620126571</v>
      </c>
    </row>
    <row r="15" spans="1:31" x14ac:dyDescent="0.15">
      <c r="A15" s="102" t="s">
        <v>15</v>
      </c>
      <c r="B15" s="100">
        <f>SUM(B3:B14)</f>
        <v>64.438758000000007</v>
      </c>
      <c r="C15" s="100">
        <f t="shared" ref="C15:N15" si="17">SUM(C3:C14)</f>
        <v>220.06076999999999</v>
      </c>
      <c r="D15" s="100">
        <f t="shared" si="17"/>
        <v>1192.952957</v>
      </c>
      <c r="E15" s="100">
        <f t="shared" si="17"/>
        <v>0.15548499999999998</v>
      </c>
      <c r="F15" s="100">
        <f t="shared" si="17"/>
        <v>777.52756899999986</v>
      </c>
      <c r="G15" s="100">
        <f t="shared" si="17"/>
        <v>16.489101999999999</v>
      </c>
      <c r="H15" s="100">
        <f t="shared" si="17"/>
        <v>3523.2388449999999</v>
      </c>
      <c r="I15" s="100">
        <f t="shared" si="17"/>
        <v>898.25093600000002</v>
      </c>
      <c r="J15" s="100">
        <f t="shared" si="17"/>
        <v>308.29813300000001</v>
      </c>
      <c r="K15" s="100">
        <f t="shared" si="17"/>
        <v>83.849920000000012</v>
      </c>
      <c r="L15" s="100">
        <f t="shared" si="17"/>
        <v>192.54209200000003</v>
      </c>
      <c r="M15" s="100">
        <f t="shared" si="17"/>
        <v>163.94438699999998</v>
      </c>
      <c r="N15" s="100">
        <f t="shared" si="17"/>
        <v>1.294082</v>
      </c>
      <c r="O15" s="100">
        <f t="shared" si="2"/>
        <v>7443.043036</v>
      </c>
      <c r="Q15" s="102" t="s">
        <v>15</v>
      </c>
      <c r="R15" s="118">
        <f t="shared" ref="R15:AE15" si="18">SUM(R3:R14)</f>
        <v>64438758</v>
      </c>
      <c r="S15" s="118">
        <f t="shared" si="18"/>
        <v>220060770</v>
      </c>
      <c r="T15" s="118">
        <f t="shared" si="18"/>
        <v>1192952957</v>
      </c>
      <c r="U15" s="173"/>
      <c r="V15" s="118">
        <f t="shared" si="18"/>
        <v>777527569</v>
      </c>
      <c r="W15" s="118">
        <f t="shared" si="18"/>
        <v>16489102</v>
      </c>
      <c r="X15" s="118">
        <f t="shared" si="18"/>
        <v>3523238845</v>
      </c>
      <c r="Y15" s="118">
        <f t="shared" si="18"/>
        <v>898250936</v>
      </c>
      <c r="Z15" s="118">
        <f t="shared" si="18"/>
        <v>308298133</v>
      </c>
      <c r="AA15" s="118">
        <f t="shared" si="18"/>
        <v>83849920</v>
      </c>
      <c r="AB15" s="118">
        <f t="shared" si="18"/>
        <v>192542092</v>
      </c>
      <c r="AC15" s="118">
        <f t="shared" si="18"/>
        <v>163944387</v>
      </c>
      <c r="AD15" s="118">
        <f t="shared" si="18"/>
        <v>1294082</v>
      </c>
      <c r="AE15" s="118">
        <f t="shared" si="18"/>
        <v>7443043036</v>
      </c>
    </row>
    <row r="16" spans="1:31" x14ac:dyDescent="0.15">
      <c r="A16" s="104" t="s">
        <v>29</v>
      </c>
      <c r="B16" s="103">
        <f>AVERAGE(B3:B14)</f>
        <v>5.3698965000000003</v>
      </c>
      <c r="C16" s="103">
        <f t="shared" ref="C16:N16" si="19">AVERAGE(C3:C14)</f>
        <v>18.338397499999999</v>
      </c>
      <c r="D16" s="103">
        <f t="shared" si="19"/>
        <v>99.412746416666664</v>
      </c>
      <c r="E16" s="103">
        <f t="shared" si="19"/>
        <v>1.2957083333333333E-2</v>
      </c>
      <c r="F16" s="103">
        <f t="shared" si="19"/>
        <v>64.793964083333321</v>
      </c>
      <c r="G16" s="103">
        <f t="shared" si="19"/>
        <v>1.3740918333333332</v>
      </c>
      <c r="H16" s="103">
        <f t="shared" si="19"/>
        <v>293.60323708333334</v>
      </c>
      <c r="I16" s="103">
        <f t="shared" si="19"/>
        <v>74.854244666666673</v>
      </c>
      <c r="J16" s="103">
        <f t="shared" si="19"/>
        <v>25.691511083333335</v>
      </c>
      <c r="K16" s="103">
        <f t="shared" si="19"/>
        <v>6.987493333333334</v>
      </c>
      <c r="L16" s="103">
        <f t="shared" si="19"/>
        <v>16.045174333333335</v>
      </c>
      <c r="M16" s="103">
        <f t="shared" si="19"/>
        <v>13.662032249999998</v>
      </c>
      <c r="N16" s="103">
        <f t="shared" si="19"/>
        <v>0.10784016666666667</v>
      </c>
      <c r="O16" s="100"/>
    </row>
    <row r="17" spans="1:28" x14ac:dyDescent="0.15">
      <c r="A17" s="208" t="s">
        <v>189</v>
      </c>
      <c r="B17" s="278">
        <v>46.231843000000005</v>
      </c>
      <c r="C17" s="278">
        <v>69.781618000000009</v>
      </c>
      <c r="D17" s="278">
        <v>1149.6430499999999</v>
      </c>
      <c r="E17" s="278">
        <v>8.7867000000000001E-2</v>
      </c>
      <c r="F17" s="278">
        <v>665.3504710000002</v>
      </c>
      <c r="G17" s="278">
        <v>5.0195080000000001</v>
      </c>
      <c r="H17" s="278">
        <v>1660.0802849999998</v>
      </c>
      <c r="I17" s="278">
        <v>491.25263100000001</v>
      </c>
      <c r="J17" s="278">
        <v>156.046595</v>
      </c>
      <c r="K17" s="278">
        <v>66.930110999999997</v>
      </c>
      <c r="L17" s="278">
        <v>132.41475399999999</v>
      </c>
      <c r="M17" s="278">
        <v>39.181713999999999</v>
      </c>
      <c r="N17" s="278">
        <v>1.758284</v>
      </c>
      <c r="O17" s="100">
        <f>SUM(B17:N17)</f>
        <v>4483.7787309999994</v>
      </c>
      <c r="Q17" s="32" t="s">
        <v>122</v>
      </c>
    </row>
    <row r="19" spans="1:28" x14ac:dyDescent="0.15">
      <c r="B19" s="378" t="s">
        <v>30</v>
      </c>
      <c r="C19" s="379"/>
      <c r="D19" s="379"/>
      <c r="E19" s="379"/>
      <c r="F19" s="379"/>
      <c r="G19" s="379"/>
      <c r="H19" s="379"/>
      <c r="I19" s="379"/>
      <c r="J19" s="379"/>
      <c r="K19" s="379"/>
      <c r="L19" s="379"/>
      <c r="M19" s="379"/>
    </row>
    <row r="20" spans="1:28" ht="28" x14ac:dyDescent="0.15">
      <c r="A20" s="60" t="s">
        <v>16</v>
      </c>
      <c r="B20" s="154" t="s">
        <v>3</v>
      </c>
      <c r="C20" s="154" t="s">
        <v>4</v>
      </c>
      <c r="D20" s="154" t="s">
        <v>5</v>
      </c>
      <c r="E20" s="154" t="s">
        <v>161</v>
      </c>
      <c r="F20" s="154" t="s">
        <v>6</v>
      </c>
      <c r="G20" s="154" t="s">
        <v>7</v>
      </c>
      <c r="H20" s="61" t="s">
        <v>14</v>
      </c>
      <c r="I20" s="155" t="s">
        <v>114</v>
      </c>
      <c r="J20" s="61" t="s">
        <v>8</v>
      </c>
      <c r="K20" s="61" t="s">
        <v>17</v>
      </c>
      <c r="L20" s="61" t="s">
        <v>9</v>
      </c>
      <c r="M20" s="61" t="s">
        <v>12</v>
      </c>
      <c r="N20" s="61" t="s">
        <v>10</v>
      </c>
    </row>
    <row r="21" spans="1:28" x14ac:dyDescent="0.15">
      <c r="A21" s="156" t="str">
        <f>A3</f>
        <v>2024-10</v>
      </c>
      <c r="B21" s="157">
        <f t="shared" ref="B21:B32" si="20">B3-B$16</f>
        <v>-2.1527875000000001</v>
      </c>
      <c r="C21" s="157">
        <f t="shared" ref="C21:D21" si="21">C3-C$16</f>
        <v>-10.1151585</v>
      </c>
      <c r="D21" s="157">
        <f t="shared" si="21"/>
        <v>-1.501524416666669</v>
      </c>
      <c r="E21" s="157"/>
      <c r="F21" s="157">
        <f t="shared" ref="F21:N21" si="22">F3-F$16</f>
        <v>-17.074817083333322</v>
      </c>
      <c r="G21" s="157">
        <f t="shared" si="22"/>
        <v>0.28995516666666687</v>
      </c>
      <c r="H21" s="157">
        <f t="shared" si="22"/>
        <v>-154.76308208333333</v>
      </c>
      <c r="I21" s="157">
        <f t="shared" si="22"/>
        <v>-49.289523666666675</v>
      </c>
      <c r="J21" s="157">
        <f t="shared" si="22"/>
        <v>-11.429819083333335</v>
      </c>
      <c r="K21" s="157">
        <f t="shared" si="22"/>
        <v>-0.6915813333333336</v>
      </c>
      <c r="L21" s="157">
        <f t="shared" si="22"/>
        <v>-1.8477993333333362</v>
      </c>
      <c r="M21" s="157">
        <f t="shared" si="22"/>
        <v>-10.247593249999998</v>
      </c>
      <c r="N21" s="157">
        <f t="shared" si="22"/>
        <v>-9.0321666666666606E-3</v>
      </c>
      <c r="O21" s="14"/>
      <c r="P21" s="14"/>
    </row>
    <row r="22" spans="1:28" x14ac:dyDescent="0.15">
      <c r="A22" s="156" t="str">
        <f t="shared" ref="A22:A32" si="23">A4</f>
        <v>2024-11</v>
      </c>
      <c r="B22" s="157">
        <f t="shared" si="20"/>
        <v>-1.1777125000000002</v>
      </c>
      <c r="C22" s="157">
        <f t="shared" ref="C22:D22" si="24">C4-C$16</f>
        <v>-10.326962499999999</v>
      </c>
      <c r="D22" s="157">
        <f t="shared" si="24"/>
        <v>27.759090583333332</v>
      </c>
      <c r="E22" s="157"/>
      <c r="F22" s="157">
        <f t="shared" ref="F22:N22" si="25">F4-F$16</f>
        <v>-12.136241083333324</v>
      </c>
      <c r="G22" s="157">
        <f t="shared" si="25"/>
        <v>0.22041116666666682</v>
      </c>
      <c r="H22" s="157">
        <f t="shared" si="25"/>
        <v>-113.77333408333334</v>
      </c>
      <c r="I22" s="157">
        <f t="shared" si="25"/>
        <v>-47.107832666666674</v>
      </c>
      <c r="J22" s="157">
        <f t="shared" si="25"/>
        <v>-9.8157080833333357</v>
      </c>
      <c r="K22" s="157">
        <f t="shared" si="25"/>
        <v>0.30896166666666591</v>
      </c>
      <c r="L22" s="157">
        <f t="shared" si="25"/>
        <v>9.2634906666666659</v>
      </c>
      <c r="M22" s="157">
        <f t="shared" si="25"/>
        <v>-10.201447249999998</v>
      </c>
      <c r="N22" s="157">
        <f t="shared" si="25"/>
        <v>-2.6895166666666664E-2</v>
      </c>
    </row>
    <row r="23" spans="1:28" x14ac:dyDescent="0.15">
      <c r="A23" s="156" t="str">
        <f t="shared" si="23"/>
        <v>2024-12</v>
      </c>
      <c r="B23" s="157">
        <f t="shared" si="20"/>
        <v>-0.57385749999999991</v>
      </c>
      <c r="C23" s="157">
        <f t="shared" ref="C23:D23" si="26">C5-C$16</f>
        <v>-9.3369514999999996</v>
      </c>
      <c r="D23" s="157">
        <f t="shared" si="26"/>
        <v>0.35159558333333507</v>
      </c>
      <c r="E23" s="157"/>
      <c r="F23" s="157">
        <f t="shared" ref="F23:N23" si="27">F5-F$16</f>
        <v>-20.817213083333321</v>
      </c>
      <c r="G23" s="157">
        <f t="shared" si="27"/>
        <v>-0.18145983333333326</v>
      </c>
      <c r="H23" s="157">
        <f t="shared" si="27"/>
        <v>-156.32511908333333</v>
      </c>
      <c r="I23" s="157">
        <f t="shared" si="27"/>
        <v>-48.902696666666671</v>
      </c>
      <c r="J23" s="157">
        <f t="shared" si="27"/>
        <v>-11.637193083333335</v>
      </c>
      <c r="K23" s="157">
        <f t="shared" si="27"/>
        <v>0.43026566666666621</v>
      </c>
      <c r="L23" s="157">
        <f t="shared" si="27"/>
        <v>5.416049666666666</v>
      </c>
      <c r="M23" s="157">
        <f t="shared" si="27"/>
        <v>-9.3167472499999988</v>
      </c>
      <c r="N23" s="157">
        <f t="shared" si="27"/>
        <v>-3.2167166666666663E-2</v>
      </c>
      <c r="Q23"/>
      <c r="R23"/>
      <c r="S23"/>
      <c r="T23"/>
      <c r="U23"/>
      <c r="V23"/>
      <c r="W23"/>
      <c r="X23"/>
      <c r="Y23"/>
      <c r="Z23"/>
      <c r="AA23"/>
      <c r="AB23"/>
    </row>
    <row r="24" spans="1:28" x14ac:dyDescent="0.15">
      <c r="A24" s="156" t="str">
        <f t="shared" si="23"/>
        <v>2025-01</v>
      </c>
      <c r="B24" s="157">
        <f t="shared" si="20"/>
        <v>-0.37023850000000014</v>
      </c>
      <c r="C24" s="157">
        <f t="shared" ref="C24:D24" si="28">C6-C$16</f>
        <v>-9.8199784999999995</v>
      </c>
      <c r="D24" s="157">
        <f t="shared" si="28"/>
        <v>2.0960155833333403</v>
      </c>
      <c r="E24" s="157"/>
      <c r="F24" s="157">
        <f t="shared" ref="F24:N24" si="29">F6-F$16</f>
        <v>-19.472360083333321</v>
      </c>
      <c r="G24" s="157">
        <f t="shared" si="29"/>
        <v>-1.1246028333333331</v>
      </c>
      <c r="H24" s="157">
        <f t="shared" si="29"/>
        <v>-174.52126008333335</v>
      </c>
      <c r="I24" s="157">
        <f t="shared" si="29"/>
        <v>-17.937930666666674</v>
      </c>
      <c r="J24" s="157">
        <f t="shared" si="29"/>
        <v>-14.593715083333334</v>
      </c>
      <c r="K24" s="157">
        <f t="shared" si="29"/>
        <v>-0.8600653333333339</v>
      </c>
      <c r="L24" s="157">
        <f t="shared" si="29"/>
        <v>-2.0160333333336666E-2</v>
      </c>
      <c r="M24" s="157">
        <f t="shared" si="29"/>
        <v>-8.1881482499999976</v>
      </c>
      <c r="N24" s="157">
        <f t="shared" si="29"/>
        <v>-2.0586166666666669E-2</v>
      </c>
      <c r="Q24"/>
      <c r="R24"/>
      <c r="S24"/>
      <c r="T24"/>
      <c r="U24"/>
      <c r="V24"/>
      <c r="W24"/>
      <c r="X24"/>
      <c r="Y24"/>
      <c r="Z24"/>
      <c r="AA24"/>
      <c r="AB24"/>
    </row>
    <row r="25" spans="1:28" x14ac:dyDescent="0.15">
      <c r="A25" s="156" t="str">
        <f t="shared" si="23"/>
        <v>2025-02</v>
      </c>
      <c r="B25" s="157">
        <f t="shared" si="20"/>
        <v>1.7311334999999994</v>
      </c>
      <c r="C25" s="157">
        <f t="shared" ref="C25:D25" si="30">C7-C$16</f>
        <v>-10.580185499999999</v>
      </c>
      <c r="D25" s="157">
        <f t="shared" si="30"/>
        <v>-9.4751444166666658</v>
      </c>
      <c r="E25" s="157"/>
      <c r="F25" s="157">
        <f t="shared" ref="F25:N25" si="31">F7-F$16</f>
        <v>-15.401808083333322</v>
      </c>
      <c r="G25" s="157">
        <f t="shared" si="31"/>
        <v>-0.72908683333333313</v>
      </c>
      <c r="H25" s="157">
        <f t="shared" si="31"/>
        <v>-163.14093408333335</v>
      </c>
      <c r="I25" s="157">
        <f t="shared" si="31"/>
        <v>-42.140513666666671</v>
      </c>
      <c r="J25" s="157">
        <f t="shared" si="31"/>
        <v>-5.3282980833333369</v>
      </c>
      <c r="K25" s="157">
        <f t="shared" si="31"/>
        <v>-0.41553133333333392</v>
      </c>
      <c r="L25" s="157">
        <f t="shared" si="31"/>
        <v>-2.8729853333333359</v>
      </c>
      <c r="M25" s="157">
        <f t="shared" si="31"/>
        <v>-7.4243532499999976</v>
      </c>
      <c r="N25" s="157">
        <f t="shared" si="31"/>
        <v>3.4128333333333372E-3</v>
      </c>
      <c r="Q25"/>
      <c r="R25"/>
      <c r="S25"/>
      <c r="T25"/>
      <c r="U25"/>
      <c r="V25"/>
      <c r="W25"/>
      <c r="X25"/>
      <c r="Y25"/>
      <c r="Z25"/>
      <c r="AA25"/>
      <c r="AB25"/>
    </row>
    <row r="26" spans="1:28" x14ac:dyDescent="0.15">
      <c r="A26" s="156" t="str">
        <f t="shared" si="23"/>
        <v>2025-03</v>
      </c>
      <c r="B26" s="157">
        <f t="shared" si="20"/>
        <v>0.94392349999999947</v>
      </c>
      <c r="C26" s="157">
        <f t="shared" ref="C26:D26" si="32">C8-C$16</f>
        <v>-9.0798594999999995</v>
      </c>
      <c r="D26" s="157">
        <f t="shared" si="32"/>
        <v>-5.0078984166666629</v>
      </c>
      <c r="E26" s="157"/>
      <c r="F26" s="157">
        <f t="shared" ref="F26:N26" si="33">F8-F$16</f>
        <v>9.014910916666679</v>
      </c>
      <c r="G26" s="157">
        <f t="shared" si="33"/>
        <v>1.422552166666667</v>
      </c>
      <c r="H26" s="157">
        <f t="shared" si="33"/>
        <v>147.19082491666666</v>
      </c>
      <c r="I26" s="157">
        <f t="shared" si="33"/>
        <v>-46.084571666666676</v>
      </c>
      <c r="J26" s="157">
        <f t="shared" si="33"/>
        <v>3.3443459166666649</v>
      </c>
      <c r="K26" s="157">
        <f t="shared" si="33"/>
        <v>-1.1938663333333341</v>
      </c>
      <c r="L26" s="157">
        <f t="shared" si="33"/>
        <v>-3.3330543333333349</v>
      </c>
      <c r="M26" s="157">
        <f t="shared" si="33"/>
        <v>-5.1375772499999979</v>
      </c>
      <c r="N26" s="157">
        <f t="shared" si="33"/>
        <v>0.20783783333333333</v>
      </c>
      <c r="Q26"/>
      <c r="R26"/>
      <c r="S26"/>
      <c r="T26"/>
      <c r="U26"/>
      <c r="V26"/>
      <c r="W26"/>
      <c r="X26"/>
      <c r="Y26"/>
      <c r="Z26"/>
      <c r="AA26"/>
      <c r="AB26"/>
    </row>
    <row r="27" spans="1:28" x14ac:dyDescent="0.15">
      <c r="A27" s="156" t="str">
        <f t="shared" si="23"/>
        <v>2025-04</v>
      </c>
      <c r="B27" s="157">
        <f t="shared" si="20"/>
        <v>0.68319949999999974</v>
      </c>
      <c r="C27" s="157">
        <f t="shared" ref="C27:D27" si="34">C9-C$16</f>
        <v>-9.5011154999999992</v>
      </c>
      <c r="D27" s="157">
        <f t="shared" si="34"/>
        <v>-8.7895284166666698</v>
      </c>
      <c r="E27" s="157"/>
      <c r="F27" s="157">
        <f t="shared" ref="F27:N27" si="35">F9-F$16</f>
        <v>5.3028039166666758</v>
      </c>
      <c r="G27" s="157">
        <f t="shared" si="35"/>
        <v>1.5504481666666667</v>
      </c>
      <c r="H27" s="157">
        <f t="shared" si="35"/>
        <v>-10.400323083333319</v>
      </c>
      <c r="I27" s="157">
        <f t="shared" si="35"/>
        <v>-43.781864666666678</v>
      </c>
      <c r="J27" s="157">
        <f t="shared" si="35"/>
        <v>10.916692916666666</v>
      </c>
      <c r="K27" s="157">
        <f t="shared" si="35"/>
        <v>0.4839466666666663</v>
      </c>
      <c r="L27" s="157">
        <f t="shared" si="35"/>
        <v>10.533182666666665</v>
      </c>
      <c r="M27" s="157">
        <f t="shared" si="35"/>
        <v>-2.9711462499999968</v>
      </c>
      <c r="N27" s="157">
        <f t="shared" si="35"/>
        <v>-1.4497166666666672E-2</v>
      </c>
      <c r="Q27"/>
      <c r="R27"/>
      <c r="S27"/>
      <c r="T27"/>
      <c r="U27"/>
      <c r="V27"/>
      <c r="W27"/>
      <c r="X27"/>
      <c r="Y27"/>
      <c r="Z27"/>
      <c r="AA27"/>
      <c r="AB27"/>
    </row>
    <row r="28" spans="1:28" x14ac:dyDescent="0.15">
      <c r="A28" s="156" t="str">
        <f t="shared" si="23"/>
        <v>2025-05</v>
      </c>
      <c r="B28" s="157">
        <f t="shared" si="20"/>
        <v>2.3885484999999997</v>
      </c>
      <c r="C28" s="157">
        <f t="shared" ref="C28:D28" si="36">C10-C$16</f>
        <v>-2.5471074999999992</v>
      </c>
      <c r="D28" s="157">
        <f t="shared" si="36"/>
        <v>-3.2340614166666626</v>
      </c>
      <c r="E28" s="157"/>
      <c r="F28" s="157">
        <f t="shared" ref="F28:N28" si="37">F10-F$16</f>
        <v>87.379101916666684</v>
      </c>
      <c r="G28" s="157">
        <f t="shared" si="37"/>
        <v>-0.79443283333333314</v>
      </c>
      <c r="H28" s="157">
        <f t="shared" si="37"/>
        <v>89.212881916666674</v>
      </c>
      <c r="I28" s="157">
        <f t="shared" si="37"/>
        <v>27.428051333333329</v>
      </c>
      <c r="J28" s="157">
        <f t="shared" si="37"/>
        <v>12.600241916666665</v>
      </c>
      <c r="K28" s="157">
        <f t="shared" si="37"/>
        <v>0.65653266666666621</v>
      </c>
      <c r="L28" s="157">
        <f t="shared" si="37"/>
        <v>-5.6297173333333355</v>
      </c>
      <c r="M28" s="157">
        <f t="shared" si="37"/>
        <v>-1.4463002499999984</v>
      </c>
      <c r="N28" s="157">
        <f t="shared" si="37"/>
        <v>-2.8369166666666668E-2</v>
      </c>
    </row>
    <row r="29" spans="1:28" x14ac:dyDescent="0.15">
      <c r="A29" s="156" t="str">
        <f t="shared" si="23"/>
        <v>2025-06</v>
      </c>
      <c r="B29" s="157">
        <f t="shared" si="20"/>
        <v>0.52877249999999965</v>
      </c>
      <c r="C29" s="157">
        <f t="shared" ref="C29:D29" si="38">C11-C$16</f>
        <v>-6.1871424999999984</v>
      </c>
      <c r="D29" s="157">
        <f t="shared" si="38"/>
        <v>-3.4138164166666627</v>
      </c>
      <c r="E29" s="157"/>
      <c r="F29" s="157">
        <f t="shared" ref="F29:N29" si="39">F11-F$16</f>
        <v>-2.7442960833333245</v>
      </c>
      <c r="G29" s="157">
        <f t="shared" si="39"/>
        <v>-0.38553083333333316</v>
      </c>
      <c r="H29" s="157">
        <f t="shared" si="39"/>
        <v>98.230862916666638</v>
      </c>
      <c r="I29" s="157">
        <f t="shared" si="39"/>
        <v>113.78071733333333</v>
      </c>
      <c r="J29" s="157">
        <f t="shared" si="39"/>
        <v>7.5629299166666648</v>
      </c>
      <c r="K29" s="157">
        <f t="shared" si="39"/>
        <v>-0.3059443333333336</v>
      </c>
      <c r="L29" s="157">
        <f t="shared" si="39"/>
        <v>-9.154457333333335</v>
      </c>
      <c r="M29" s="157">
        <f t="shared" si="39"/>
        <v>57.73484375000001</v>
      </c>
      <c r="N29" s="157">
        <f t="shared" si="39"/>
        <v>-3.1803166666666674E-2</v>
      </c>
    </row>
    <row r="30" spans="1:28" x14ac:dyDescent="0.15">
      <c r="A30" s="156" t="str">
        <f t="shared" si="23"/>
        <v>2025-07</v>
      </c>
      <c r="B30" s="157">
        <f t="shared" si="20"/>
        <v>8.8053500000000007E-2</v>
      </c>
      <c r="C30" s="157">
        <f t="shared" ref="C30:D30" si="40">C12-C$16</f>
        <v>-9.3637834999999985</v>
      </c>
      <c r="D30" s="157">
        <f t="shared" si="40"/>
        <v>-1.462408416666662</v>
      </c>
      <c r="E30" s="157"/>
      <c r="F30" s="157">
        <f t="shared" ref="F30:N30" si="41">F12-F$16</f>
        <v>-0.99118508333332045</v>
      </c>
      <c r="G30" s="157">
        <f t="shared" si="41"/>
        <v>0.36074516666666678</v>
      </c>
      <c r="H30" s="157">
        <f t="shared" si="41"/>
        <v>335.55026291666667</v>
      </c>
      <c r="I30" s="157">
        <f t="shared" si="41"/>
        <v>124.32176233333333</v>
      </c>
      <c r="J30" s="157">
        <f t="shared" si="41"/>
        <v>27.424373916666664</v>
      </c>
      <c r="K30" s="157">
        <f t="shared" si="41"/>
        <v>0.21108266666666609</v>
      </c>
      <c r="L30" s="157">
        <f t="shared" si="41"/>
        <v>-4.5158073333333348</v>
      </c>
      <c r="M30" s="157">
        <f t="shared" si="41"/>
        <v>-2.1394052499999976</v>
      </c>
      <c r="N30" s="157">
        <f t="shared" si="41"/>
        <v>-2.2332166666666667E-2</v>
      </c>
    </row>
    <row r="31" spans="1:28" x14ac:dyDescent="0.15">
      <c r="A31" s="156" t="str">
        <f t="shared" si="23"/>
        <v>2025-08</v>
      </c>
      <c r="B31" s="157">
        <f t="shared" si="20"/>
        <v>-1.4974095000000003</v>
      </c>
      <c r="C31" s="157">
        <f t="shared" ref="C31:D31" si="42">C13-C$16</f>
        <v>-2.6890824999999996</v>
      </c>
      <c r="D31" s="157">
        <f t="shared" si="42"/>
        <v>1.2909235833333383</v>
      </c>
      <c r="E31" s="157"/>
      <c r="F31" s="157">
        <f t="shared" ref="F31:N31" si="43">F13-F$16</f>
        <v>-8.1183320833333212</v>
      </c>
      <c r="G31" s="157">
        <f t="shared" si="43"/>
        <v>-0.82043983333333315</v>
      </c>
      <c r="H31" s="157">
        <f t="shared" si="43"/>
        <v>173.95572091666668</v>
      </c>
      <c r="I31" s="157">
        <f t="shared" si="43"/>
        <v>41.04496833333333</v>
      </c>
      <c r="J31" s="157">
        <f t="shared" si="43"/>
        <v>-2.0931960833333356</v>
      </c>
      <c r="K31" s="157">
        <f t="shared" si="43"/>
        <v>-0.22670133333333364</v>
      </c>
      <c r="L31" s="157">
        <f t="shared" si="43"/>
        <v>3.6459156666666637</v>
      </c>
      <c r="M31" s="157">
        <f t="shared" si="43"/>
        <v>-4.3691602499999984</v>
      </c>
      <c r="N31" s="157">
        <f t="shared" si="43"/>
        <v>1.6061833333333331E-2</v>
      </c>
    </row>
    <row r="32" spans="1:28" x14ac:dyDescent="0.15">
      <c r="A32" s="156" t="str">
        <f t="shared" si="23"/>
        <v>2025-09</v>
      </c>
      <c r="B32" s="157">
        <f t="shared" si="20"/>
        <v>-0.59162550000000014</v>
      </c>
      <c r="C32" s="157">
        <f t="shared" ref="C32:D32" si="44">C14-C$16</f>
        <v>89.547327499999994</v>
      </c>
      <c r="D32" s="157">
        <f t="shared" si="44"/>
        <v>1.3867565833333373</v>
      </c>
      <c r="E32" s="157"/>
      <c r="F32" s="157">
        <f t="shared" ref="F32:N32" si="45">F14-F$16</f>
        <v>-4.9405640833333209</v>
      </c>
      <c r="G32" s="157">
        <f t="shared" si="45"/>
        <v>0.19144116666666688</v>
      </c>
      <c r="H32" s="157">
        <f t="shared" si="45"/>
        <v>-71.216501083333327</v>
      </c>
      <c r="I32" s="157">
        <f t="shared" si="45"/>
        <v>-11.330565666666672</v>
      </c>
      <c r="J32" s="157">
        <f t="shared" si="45"/>
        <v>-6.9506550833333343</v>
      </c>
      <c r="K32" s="157">
        <f t="shared" si="45"/>
        <v>1.6029006666666659</v>
      </c>
      <c r="L32" s="157">
        <f t="shared" si="45"/>
        <v>-1.4846573333333346</v>
      </c>
      <c r="M32" s="157">
        <f t="shared" si="45"/>
        <v>3.7070347500000036</v>
      </c>
      <c r="N32" s="157">
        <f t="shared" si="45"/>
        <v>-4.1630166666666663E-2</v>
      </c>
    </row>
    <row r="33" spans="1:17" x14ac:dyDescent="0.15">
      <c r="A33" s="120" t="s">
        <v>11</v>
      </c>
      <c r="B33" s="158">
        <f>SUM(B21:B32)</f>
        <v>-3.1086244689504383E-15</v>
      </c>
      <c r="C33" s="158">
        <f t="shared" ref="C33:N33" si="46">SUM(C21:C32)</f>
        <v>0</v>
      </c>
      <c r="D33" s="158">
        <f t="shared" si="46"/>
        <v>2.8421709430404007E-14</v>
      </c>
      <c r="E33" s="158"/>
      <c r="F33" s="158">
        <f t="shared" si="46"/>
        <v>1.4210854715202004E-13</v>
      </c>
      <c r="G33" s="158">
        <f t="shared" si="46"/>
        <v>2.1094237467877974E-15</v>
      </c>
      <c r="H33" s="158">
        <f t="shared" si="46"/>
        <v>0</v>
      </c>
      <c r="I33" s="158">
        <f t="shared" si="46"/>
        <v>-1.1368683772161603E-13</v>
      </c>
      <c r="J33" s="158">
        <f t="shared" si="46"/>
        <v>-2.4868995751603507E-14</v>
      </c>
      <c r="K33" s="158">
        <f t="shared" si="46"/>
        <v>-6.2172489379008766E-15</v>
      </c>
      <c r="L33" s="158">
        <f t="shared" si="46"/>
        <v>-2.3092638912203256E-14</v>
      </c>
      <c r="M33" s="158">
        <f t="shared" si="46"/>
        <v>3.3750779948604759E-14</v>
      </c>
      <c r="N33" s="158">
        <f t="shared" si="46"/>
        <v>0</v>
      </c>
    </row>
    <row r="34" spans="1:17" x14ac:dyDescent="0.15">
      <c r="B34" s="159"/>
      <c r="C34" s="159"/>
      <c r="D34" s="159"/>
      <c r="E34" s="159"/>
      <c r="F34" s="159"/>
      <c r="G34" s="159"/>
      <c r="H34" s="159"/>
      <c r="I34" s="159"/>
      <c r="J34" s="159"/>
      <c r="K34" s="159"/>
      <c r="L34" s="159"/>
      <c r="M34" s="159"/>
    </row>
    <row r="35" spans="1:17" x14ac:dyDescent="0.15">
      <c r="B35" s="378" t="s">
        <v>31</v>
      </c>
      <c r="C35" s="379"/>
      <c r="D35" s="379"/>
      <c r="E35" s="379"/>
      <c r="F35" s="379"/>
      <c r="G35" s="379"/>
      <c r="H35" s="379"/>
      <c r="I35" s="379"/>
      <c r="J35" s="379"/>
      <c r="K35" s="379"/>
      <c r="L35" s="379"/>
      <c r="M35" s="379"/>
    </row>
    <row r="36" spans="1:17" ht="28" x14ac:dyDescent="0.15">
      <c r="A36" s="120" t="s">
        <v>16</v>
      </c>
      <c r="B36" s="121" t="s">
        <v>3</v>
      </c>
      <c r="C36" s="121" t="s">
        <v>4</v>
      </c>
      <c r="D36" s="121" t="s">
        <v>5</v>
      </c>
      <c r="E36" s="121" t="s">
        <v>161</v>
      </c>
      <c r="F36" s="121" t="s">
        <v>6</v>
      </c>
      <c r="G36" s="121" t="s">
        <v>7</v>
      </c>
      <c r="H36" s="122" t="s">
        <v>14</v>
      </c>
      <c r="I36" s="123" t="s">
        <v>114</v>
      </c>
      <c r="J36" s="122" t="s">
        <v>8</v>
      </c>
      <c r="K36" s="122" t="s">
        <v>17</v>
      </c>
      <c r="L36" s="122" t="s">
        <v>9</v>
      </c>
      <c r="M36" s="122" t="s">
        <v>12</v>
      </c>
      <c r="N36" s="122" t="s">
        <v>10</v>
      </c>
    </row>
    <row r="37" spans="1:17" x14ac:dyDescent="0.15">
      <c r="A37" s="156" t="str">
        <f>A21</f>
        <v>2024-10</v>
      </c>
      <c r="B37" s="157"/>
      <c r="C37" s="157"/>
      <c r="D37" s="157"/>
      <c r="E37" s="157"/>
      <c r="F37" s="157"/>
      <c r="G37" s="157"/>
      <c r="H37" s="157"/>
      <c r="I37" s="157"/>
      <c r="J37" s="157"/>
      <c r="K37" s="157"/>
      <c r="L37" s="157"/>
      <c r="M37" s="157"/>
      <c r="N37" s="157"/>
    </row>
    <row r="38" spans="1:17" x14ac:dyDescent="0.15">
      <c r="A38" s="156" t="str">
        <f t="shared" ref="A38:A48" si="47">A22</f>
        <v>2024-11</v>
      </c>
      <c r="B38" s="157">
        <f>B4-B3</f>
        <v>0.97507499999999991</v>
      </c>
      <c r="C38" s="157">
        <f t="shared" ref="C38:D38" si="48">C4-C3</f>
        <v>-0.21180399999999899</v>
      </c>
      <c r="D38" s="157">
        <f t="shared" si="48"/>
        <v>29.260615000000001</v>
      </c>
      <c r="E38" s="157"/>
      <c r="F38" s="157">
        <f t="shared" ref="F38:N38" si="49">F4-F3</f>
        <v>4.9385759999999976</v>
      </c>
      <c r="G38" s="157">
        <f t="shared" si="49"/>
        <v>-6.954400000000005E-2</v>
      </c>
      <c r="H38" s="157">
        <f t="shared" si="49"/>
        <v>40.989747999999992</v>
      </c>
      <c r="I38" s="157">
        <f t="shared" si="49"/>
        <v>2.1816910000000007</v>
      </c>
      <c r="J38" s="157">
        <f t="shared" si="49"/>
        <v>1.6141109999999994</v>
      </c>
      <c r="K38" s="157">
        <f t="shared" si="49"/>
        <v>1.0005429999999995</v>
      </c>
      <c r="L38" s="157">
        <f t="shared" si="49"/>
        <v>11.111290000000002</v>
      </c>
      <c r="M38" s="157">
        <f t="shared" si="49"/>
        <v>4.6146000000000242E-2</v>
      </c>
      <c r="N38" s="157">
        <f t="shared" si="49"/>
        <v>-1.7863000000000004E-2</v>
      </c>
      <c r="Q38"/>
    </row>
    <row r="39" spans="1:17" x14ac:dyDescent="0.15">
      <c r="A39" s="156" t="str">
        <f t="shared" si="47"/>
        <v>2024-12</v>
      </c>
      <c r="B39" s="157">
        <f t="shared" ref="B39:D48" si="50">B5-B4</f>
        <v>0.60385500000000025</v>
      </c>
      <c r="C39" s="157">
        <f t="shared" si="50"/>
        <v>0.99001099999999909</v>
      </c>
      <c r="D39" s="157">
        <f t="shared" si="50"/>
        <v>-27.407494999999997</v>
      </c>
      <c r="E39" s="157"/>
      <c r="F39" s="157">
        <f t="shared" ref="F39:N39" si="51">F5-F4</f>
        <v>-8.680971999999997</v>
      </c>
      <c r="G39" s="157">
        <f t="shared" si="51"/>
        <v>-0.40187100000000009</v>
      </c>
      <c r="H39" s="157">
        <f t="shared" si="51"/>
        <v>-42.551784999999995</v>
      </c>
      <c r="I39" s="157">
        <f t="shared" si="51"/>
        <v>-1.7948640000000005</v>
      </c>
      <c r="J39" s="157">
        <f t="shared" si="51"/>
        <v>-1.8214849999999991</v>
      </c>
      <c r="K39" s="157">
        <f t="shared" si="51"/>
        <v>0.1213040000000003</v>
      </c>
      <c r="L39" s="157">
        <f t="shared" si="51"/>
        <v>-3.8474409999999999</v>
      </c>
      <c r="M39" s="157">
        <f t="shared" si="51"/>
        <v>0.8846999999999996</v>
      </c>
      <c r="N39" s="157">
        <f t="shared" si="51"/>
        <v>-5.2719999999999989E-3</v>
      </c>
      <c r="Q39"/>
    </row>
    <row r="40" spans="1:17" x14ac:dyDescent="0.15">
      <c r="A40" s="156" t="str">
        <f t="shared" si="47"/>
        <v>2025-01</v>
      </c>
      <c r="B40" s="157">
        <f t="shared" si="50"/>
        <v>0.20361899999999977</v>
      </c>
      <c r="C40" s="157">
        <f t="shared" si="50"/>
        <v>-0.48302699999999987</v>
      </c>
      <c r="D40" s="157">
        <f t="shared" si="50"/>
        <v>1.7444200000000052</v>
      </c>
      <c r="E40" s="157"/>
      <c r="F40" s="157">
        <f t="shared" ref="F40:N40" si="52">F6-F5</f>
        <v>1.3448530000000005</v>
      </c>
      <c r="G40" s="157">
        <f t="shared" si="52"/>
        <v>-0.94314299999999995</v>
      </c>
      <c r="H40" s="157">
        <f t="shared" si="52"/>
        <v>-18.196141000000011</v>
      </c>
      <c r="I40" s="157">
        <f t="shared" si="52"/>
        <v>30.964766000000001</v>
      </c>
      <c r="J40" s="157">
        <f t="shared" si="52"/>
        <v>-2.9565219999999997</v>
      </c>
      <c r="K40" s="157">
        <f t="shared" si="52"/>
        <v>-1.2903310000000001</v>
      </c>
      <c r="L40" s="157">
        <f t="shared" si="52"/>
        <v>-5.4362100000000027</v>
      </c>
      <c r="M40" s="157">
        <f t="shared" si="52"/>
        <v>1.1285990000000004</v>
      </c>
      <c r="N40" s="157">
        <f t="shared" si="52"/>
        <v>1.1580999999999994E-2</v>
      </c>
      <c r="Q40"/>
    </row>
    <row r="41" spans="1:17" x14ac:dyDescent="0.15">
      <c r="A41" s="156" t="str">
        <f t="shared" si="47"/>
        <v>2025-02</v>
      </c>
      <c r="B41" s="157">
        <f t="shared" si="50"/>
        <v>2.1013719999999996</v>
      </c>
      <c r="C41" s="157">
        <f t="shared" si="50"/>
        <v>-0.76020699999999941</v>
      </c>
      <c r="D41" s="157">
        <f t="shared" si="50"/>
        <v>-11.571160000000006</v>
      </c>
      <c r="E41" s="157"/>
      <c r="F41" s="157">
        <f t="shared" ref="F41:N41" si="53">F7-F6</f>
        <v>4.0705519999999993</v>
      </c>
      <c r="G41" s="157">
        <f t="shared" si="53"/>
        <v>0.39551600000000009</v>
      </c>
      <c r="H41" s="157">
        <f t="shared" si="53"/>
        <v>11.380325999999997</v>
      </c>
      <c r="I41" s="157">
        <f t="shared" si="53"/>
        <v>-24.202582999999997</v>
      </c>
      <c r="J41" s="157">
        <f t="shared" si="53"/>
        <v>9.2654169999999976</v>
      </c>
      <c r="K41" s="157">
        <f t="shared" si="53"/>
        <v>0.44453399999999998</v>
      </c>
      <c r="L41" s="157">
        <f t="shared" si="53"/>
        <v>-2.8528249999999993</v>
      </c>
      <c r="M41" s="157">
        <f t="shared" si="53"/>
        <v>0.763795</v>
      </c>
      <c r="N41" s="157">
        <f t="shared" si="53"/>
        <v>2.3999000000000006E-2</v>
      </c>
      <c r="Q41"/>
    </row>
    <row r="42" spans="1:17" x14ac:dyDescent="0.15">
      <c r="A42" s="156" t="str">
        <f t="shared" si="47"/>
        <v>2025-03</v>
      </c>
      <c r="B42" s="157">
        <f t="shared" si="50"/>
        <v>-0.78720999999999997</v>
      </c>
      <c r="C42" s="157">
        <f t="shared" si="50"/>
        <v>1.5003259999999994</v>
      </c>
      <c r="D42" s="157">
        <f t="shared" si="50"/>
        <v>4.4672460000000029</v>
      </c>
      <c r="E42" s="157"/>
      <c r="F42" s="157">
        <f t="shared" ref="F42:N42" si="54">F8-F7</f>
        <v>24.416719000000001</v>
      </c>
      <c r="G42" s="157">
        <f t="shared" si="54"/>
        <v>2.1516390000000003</v>
      </c>
      <c r="H42" s="157">
        <f t="shared" si="54"/>
        <v>310.33175900000003</v>
      </c>
      <c r="I42" s="157">
        <f t="shared" si="54"/>
        <v>-3.9440580000000018</v>
      </c>
      <c r="J42" s="157">
        <f t="shared" si="54"/>
        <v>8.6726440000000018</v>
      </c>
      <c r="K42" s="157">
        <f t="shared" si="54"/>
        <v>-0.77833500000000022</v>
      </c>
      <c r="L42" s="157">
        <f t="shared" si="54"/>
        <v>-0.46006899999999895</v>
      </c>
      <c r="M42" s="157">
        <f t="shared" si="54"/>
        <v>2.2867759999999997</v>
      </c>
      <c r="N42" s="157">
        <f t="shared" si="54"/>
        <v>0.20442500000000002</v>
      </c>
      <c r="Q42"/>
    </row>
    <row r="43" spans="1:17" x14ac:dyDescent="0.15">
      <c r="A43" s="156" t="str">
        <f t="shared" si="47"/>
        <v>2025-04</v>
      </c>
      <c r="B43" s="157">
        <f t="shared" si="50"/>
        <v>-0.26072399999999973</v>
      </c>
      <c r="C43" s="157">
        <f t="shared" si="50"/>
        <v>-0.42125599999999963</v>
      </c>
      <c r="D43" s="157">
        <f t="shared" si="50"/>
        <v>-3.7816300000000069</v>
      </c>
      <c r="E43" s="157"/>
      <c r="F43" s="157">
        <f t="shared" ref="F43:N43" si="55">F9-F8</f>
        <v>-3.7121070000000032</v>
      </c>
      <c r="G43" s="157">
        <f t="shared" si="55"/>
        <v>0.12789599999999979</v>
      </c>
      <c r="H43" s="157">
        <f t="shared" si="55"/>
        <v>-157.59114799999998</v>
      </c>
      <c r="I43" s="157">
        <f t="shared" si="55"/>
        <v>2.3027069999999981</v>
      </c>
      <c r="J43" s="157">
        <f t="shared" si="55"/>
        <v>7.5723470000000006</v>
      </c>
      <c r="K43" s="157">
        <f t="shared" si="55"/>
        <v>1.6778130000000004</v>
      </c>
      <c r="L43" s="157">
        <f t="shared" si="55"/>
        <v>13.866237</v>
      </c>
      <c r="M43" s="157">
        <f t="shared" si="55"/>
        <v>2.1664310000000011</v>
      </c>
      <c r="N43" s="157">
        <f t="shared" si="55"/>
        <v>-0.222335</v>
      </c>
    </row>
    <row r="44" spans="1:17" x14ac:dyDescent="0.15">
      <c r="A44" s="156" t="str">
        <f t="shared" si="47"/>
        <v>2025-05</v>
      </c>
      <c r="B44" s="157">
        <f t="shared" si="50"/>
        <v>1.705349</v>
      </c>
      <c r="C44" s="157">
        <f t="shared" si="50"/>
        <v>6.954008</v>
      </c>
      <c r="D44" s="157">
        <f t="shared" si="50"/>
        <v>5.5554670000000073</v>
      </c>
      <c r="E44" s="157"/>
      <c r="F44" s="157">
        <f t="shared" ref="F44:N44" si="56">F10-F9</f>
        <v>82.076298000000008</v>
      </c>
      <c r="G44" s="157">
        <f t="shared" si="56"/>
        <v>-2.344881</v>
      </c>
      <c r="H44" s="157">
        <f t="shared" si="56"/>
        <v>99.613204999999994</v>
      </c>
      <c r="I44" s="157">
        <f t="shared" si="56"/>
        <v>71.209916000000007</v>
      </c>
      <c r="J44" s="157">
        <f t="shared" si="56"/>
        <v>1.6835489999999993</v>
      </c>
      <c r="K44" s="157">
        <f t="shared" si="56"/>
        <v>0.17258599999999991</v>
      </c>
      <c r="L44" s="157">
        <f t="shared" si="56"/>
        <v>-16.1629</v>
      </c>
      <c r="M44" s="157">
        <f t="shared" si="56"/>
        <v>1.5248459999999984</v>
      </c>
      <c r="N44" s="157">
        <f t="shared" si="56"/>
        <v>-1.3871999999999995E-2</v>
      </c>
    </row>
    <row r="45" spans="1:17" x14ac:dyDescent="0.15">
      <c r="A45" s="156" t="str">
        <f t="shared" si="47"/>
        <v>2025-06</v>
      </c>
      <c r="B45" s="157">
        <f t="shared" si="50"/>
        <v>-1.8597760000000001</v>
      </c>
      <c r="C45" s="157">
        <f t="shared" si="50"/>
        <v>-3.6400349999999992</v>
      </c>
      <c r="D45" s="157">
        <f t="shared" si="50"/>
        <v>-0.17975500000000011</v>
      </c>
      <c r="E45" s="157"/>
      <c r="F45" s="157">
        <f t="shared" ref="F45:N45" si="57">F11-F10</f>
        <v>-90.123398000000009</v>
      </c>
      <c r="G45" s="157">
        <f t="shared" si="57"/>
        <v>0.40890199999999999</v>
      </c>
      <c r="H45" s="157">
        <f t="shared" si="57"/>
        <v>9.0179809999999634</v>
      </c>
      <c r="I45" s="157">
        <f t="shared" si="57"/>
        <v>86.352665999999999</v>
      </c>
      <c r="J45" s="157">
        <f t="shared" si="57"/>
        <v>-5.037312</v>
      </c>
      <c r="K45" s="157">
        <f t="shared" si="57"/>
        <v>-0.9624769999999998</v>
      </c>
      <c r="L45" s="157">
        <f t="shared" si="57"/>
        <v>-3.5247399999999995</v>
      </c>
      <c r="M45" s="157">
        <f t="shared" si="57"/>
        <v>59.181144000000003</v>
      </c>
      <c r="N45" s="157">
        <f t="shared" si="57"/>
        <v>-3.4340000000000065E-3</v>
      </c>
    </row>
    <row r="46" spans="1:17" x14ac:dyDescent="0.15">
      <c r="A46" s="156" t="str">
        <f t="shared" si="47"/>
        <v>2025-07</v>
      </c>
      <c r="B46" s="157">
        <f t="shared" si="50"/>
        <v>-0.44071899999999964</v>
      </c>
      <c r="C46" s="157">
        <f t="shared" si="50"/>
        <v>-3.176641</v>
      </c>
      <c r="D46" s="157">
        <f t="shared" si="50"/>
        <v>1.9514080000000007</v>
      </c>
      <c r="E46" s="157"/>
      <c r="F46" s="157">
        <f t="shared" ref="F46:N46" si="58">F12-F11</f>
        <v>1.7531110000000041</v>
      </c>
      <c r="G46" s="157">
        <f t="shared" si="58"/>
        <v>0.74627599999999994</v>
      </c>
      <c r="H46" s="157">
        <f t="shared" si="58"/>
        <v>237.31940000000003</v>
      </c>
      <c r="I46" s="157">
        <f t="shared" si="58"/>
        <v>10.541044999999997</v>
      </c>
      <c r="J46" s="157">
        <f t="shared" si="58"/>
        <v>19.861443999999999</v>
      </c>
      <c r="K46" s="157">
        <f t="shared" si="58"/>
        <v>0.51702699999999968</v>
      </c>
      <c r="L46" s="157">
        <f t="shared" si="58"/>
        <v>4.6386500000000002</v>
      </c>
      <c r="M46" s="157">
        <f t="shared" si="58"/>
        <v>-59.874249000000006</v>
      </c>
      <c r="N46" s="157">
        <f t="shared" si="58"/>
        <v>9.4710000000000072E-3</v>
      </c>
    </row>
    <row r="47" spans="1:17" x14ac:dyDescent="0.15">
      <c r="A47" s="156" t="str">
        <f t="shared" si="47"/>
        <v>2025-08</v>
      </c>
      <c r="B47" s="157">
        <f t="shared" si="50"/>
        <v>-1.5854630000000003</v>
      </c>
      <c r="C47" s="157">
        <f t="shared" si="50"/>
        <v>6.6747009999999989</v>
      </c>
      <c r="D47" s="157">
        <f t="shared" si="50"/>
        <v>2.7533320000000003</v>
      </c>
      <c r="E47" s="157"/>
      <c r="F47" s="157">
        <f t="shared" ref="F47:N47" si="59">F13-F12</f>
        <v>-7.1271470000000008</v>
      </c>
      <c r="G47" s="157">
        <f t="shared" si="59"/>
        <v>-1.1811849999999999</v>
      </c>
      <c r="H47" s="157">
        <f t="shared" si="59"/>
        <v>-161.59454199999999</v>
      </c>
      <c r="I47" s="157">
        <f t="shared" si="59"/>
        <v>-83.276793999999995</v>
      </c>
      <c r="J47" s="157">
        <f t="shared" si="59"/>
        <v>-29.517569999999999</v>
      </c>
      <c r="K47" s="157">
        <f t="shared" si="59"/>
        <v>-0.43778399999999973</v>
      </c>
      <c r="L47" s="157">
        <f t="shared" si="59"/>
        <v>8.1617229999999985</v>
      </c>
      <c r="M47" s="157">
        <f t="shared" si="59"/>
        <v>-2.2297550000000008</v>
      </c>
      <c r="N47" s="157">
        <f t="shared" si="59"/>
        <v>3.8393999999999998E-2</v>
      </c>
    </row>
    <row r="48" spans="1:17" x14ac:dyDescent="0.15">
      <c r="A48" s="156" t="str">
        <f t="shared" si="47"/>
        <v>2025-09</v>
      </c>
      <c r="B48" s="157">
        <f t="shared" si="50"/>
        <v>0.90578400000000014</v>
      </c>
      <c r="C48" s="157">
        <f t="shared" si="50"/>
        <v>92.236409999999992</v>
      </c>
      <c r="D48" s="157">
        <f t="shared" si="50"/>
        <v>9.5832999999998947E-2</v>
      </c>
      <c r="E48" s="157"/>
      <c r="F48" s="157">
        <f t="shared" ref="F48:N48" si="60">F14-F13</f>
        <v>3.1777680000000004</v>
      </c>
      <c r="G48" s="157">
        <f t="shared" si="60"/>
        <v>1.011881</v>
      </c>
      <c r="H48" s="157">
        <f t="shared" si="60"/>
        <v>-245.172222</v>
      </c>
      <c r="I48" s="157">
        <f t="shared" si="60"/>
        <v>-52.375534000000002</v>
      </c>
      <c r="J48" s="157">
        <f t="shared" si="60"/>
        <v>-4.8574589999999986</v>
      </c>
      <c r="K48" s="157">
        <f t="shared" si="60"/>
        <v>1.8296019999999995</v>
      </c>
      <c r="L48" s="157">
        <f t="shared" si="60"/>
        <v>-5.1305729999999983</v>
      </c>
      <c r="M48" s="157">
        <f t="shared" si="60"/>
        <v>8.076195000000002</v>
      </c>
      <c r="N48" s="157">
        <f t="shared" si="60"/>
        <v>-5.7691999999999993E-2</v>
      </c>
    </row>
    <row r="49" spans="1:31" x14ac:dyDescent="0.15">
      <c r="A49" s="12" t="s">
        <v>11</v>
      </c>
      <c r="B49" s="13">
        <f>SUM(B37:B48)</f>
        <v>1.5611619999999995</v>
      </c>
      <c r="H49" s="15"/>
      <c r="I49" s="15"/>
      <c r="J49" s="15"/>
      <c r="L49" s="16"/>
    </row>
    <row r="50" spans="1:31" x14ac:dyDescent="0.15">
      <c r="H50" s="15"/>
      <c r="I50" s="15"/>
      <c r="J50" s="15"/>
      <c r="L50" s="16"/>
    </row>
    <row r="51" spans="1:31" x14ac:dyDescent="0.15">
      <c r="H51" s="15"/>
      <c r="I51" s="15"/>
      <c r="J51" s="15"/>
      <c r="L51" s="16"/>
    </row>
    <row r="52" spans="1:31" x14ac:dyDescent="0.15">
      <c r="H52" s="15"/>
      <c r="I52" s="15"/>
      <c r="J52" s="15"/>
    </row>
    <row r="53" spans="1:31" x14ac:dyDescent="0.15">
      <c r="A53" s="19" t="s">
        <v>33</v>
      </c>
      <c r="Q53" s="32" t="s">
        <v>99</v>
      </c>
    </row>
    <row r="54" spans="1:31" ht="28" x14ac:dyDescent="0.15">
      <c r="A54" s="1" t="s">
        <v>23</v>
      </c>
      <c r="B54" s="6" t="s">
        <v>3</v>
      </c>
      <c r="C54" s="6" t="s">
        <v>4</v>
      </c>
      <c r="D54" s="6" t="s">
        <v>5</v>
      </c>
      <c r="E54" s="154" t="s">
        <v>161</v>
      </c>
      <c r="F54" s="6" t="s">
        <v>6</v>
      </c>
      <c r="G54" s="6" t="s">
        <v>7</v>
      </c>
      <c r="H54" s="4" t="s">
        <v>14</v>
      </c>
      <c r="I54" s="2" t="s">
        <v>114</v>
      </c>
      <c r="J54" s="4" t="s">
        <v>8</v>
      </c>
      <c r="K54" s="4" t="s">
        <v>17</v>
      </c>
      <c r="L54" s="4" t="s">
        <v>9</v>
      </c>
      <c r="M54" s="4" t="s">
        <v>12</v>
      </c>
      <c r="N54" s="4" t="s">
        <v>10</v>
      </c>
      <c r="O54" s="4" t="s">
        <v>11</v>
      </c>
      <c r="Q54" s="1" t="s">
        <v>34</v>
      </c>
      <c r="R54" s="6" t="s">
        <v>3</v>
      </c>
      <c r="S54" s="6" t="s">
        <v>4</v>
      </c>
      <c r="T54" s="6" t="s">
        <v>5</v>
      </c>
      <c r="U54" s="154" t="s">
        <v>161</v>
      </c>
      <c r="V54" s="6" t="s">
        <v>6</v>
      </c>
      <c r="W54" s="6" t="s">
        <v>7</v>
      </c>
      <c r="X54" s="4" t="s">
        <v>14</v>
      </c>
      <c r="Y54" s="2" t="s">
        <v>114</v>
      </c>
      <c r="Z54" s="4" t="s">
        <v>8</v>
      </c>
      <c r="AA54" s="4" t="s">
        <v>17</v>
      </c>
      <c r="AB54" s="4" t="s">
        <v>9</v>
      </c>
      <c r="AC54" s="4" t="s">
        <v>12</v>
      </c>
      <c r="AD54" s="4" t="s">
        <v>10</v>
      </c>
      <c r="AE54" s="101" t="s">
        <v>11</v>
      </c>
    </row>
    <row r="55" spans="1:31" x14ac:dyDescent="0.15">
      <c r="A55" s="101" t="str">
        <f t="shared" ref="A55:A66" si="61">Q55</f>
        <v>2024-10</v>
      </c>
      <c r="B55" s="100">
        <f t="shared" ref="B55:N55" si="62">R55/1024</f>
        <v>803.66842762853298</v>
      </c>
      <c r="C55" s="100">
        <f t="shared" si="62"/>
        <v>6000.0088394018494</v>
      </c>
      <c r="D55" s="100">
        <f t="shared" si="62"/>
        <v>35.887581106689062</v>
      </c>
      <c r="E55" s="100">
        <f t="shared" si="62"/>
        <v>1.6954642276687013E-2</v>
      </c>
      <c r="F55" s="100">
        <f t="shared" si="62"/>
        <v>1029.2061572245611</v>
      </c>
      <c r="G55" s="100">
        <f t="shared" si="62"/>
        <v>5.4946630288259177</v>
      </c>
      <c r="H55" s="100">
        <f t="shared" si="62"/>
        <v>1362.2495018105312</v>
      </c>
      <c r="I55" s="100">
        <f t="shared" si="62"/>
        <v>2030.858846930669</v>
      </c>
      <c r="J55" s="100">
        <f t="shared" si="62"/>
        <v>713.10140424648444</v>
      </c>
      <c r="K55" s="100">
        <f t="shared" si="62"/>
        <v>187.05702297047216</v>
      </c>
      <c r="L55" s="100">
        <f t="shared" si="62"/>
        <v>229.74556556593848</v>
      </c>
      <c r="M55" s="100">
        <f t="shared" si="62"/>
        <v>302.50779212738087</v>
      </c>
      <c r="N55" s="100">
        <f t="shared" si="62"/>
        <v>4.093213345592627</v>
      </c>
      <c r="O55" s="100">
        <f t="shared" ref="O55:O67" si="63">SUM(B55:N55)</f>
        <v>12703.895970029802</v>
      </c>
      <c r="Q55" s="101" t="str">
        <f t="shared" ref="Q55:Q66" si="64">Q3</f>
        <v>2024-10</v>
      </c>
      <c r="R55" s="281">
        <v>822956.46989161777</v>
      </c>
      <c r="S55" s="281">
        <v>6144009.0515474938</v>
      </c>
      <c r="T55" s="281">
        <v>36748.883053249599</v>
      </c>
      <c r="U55" s="282">
        <v>17.361553691327501</v>
      </c>
      <c r="V55" s="281">
        <v>1053907.1049979506</v>
      </c>
      <c r="W55" s="281">
        <v>5626.5349415177398</v>
      </c>
      <c r="X55" s="281">
        <v>1394943.489853984</v>
      </c>
      <c r="Y55" s="281">
        <v>2079599.459257005</v>
      </c>
      <c r="Z55" s="281">
        <v>730215.83794840006</v>
      </c>
      <c r="AA55" s="281">
        <v>191546.39152176349</v>
      </c>
      <c r="AB55" s="281">
        <v>235259.459139521</v>
      </c>
      <c r="AC55" s="281">
        <v>309767.97913843801</v>
      </c>
      <c r="AD55" s="281">
        <v>4191.45046588685</v>
      </c>
      <c r="AE55" s="118">
        <f t="shared" ref="AE55:AE66" si="65">SUM(R55:AD55)</f>
        <v>13008789.473310517</v>
      </c>
    </row>
    <row r="56" spans="1:31" x14ac:dyDescent="0.15">
      <c r="A56" s="101" t="str">
        <f t="shared" si="61"/>
        <v>2024-11</v>
      </c>
      <c r="B56" s="100">
        <f t="shared" ref="B56:B66" si="66">R56/1024</f>
        <v>776.62799554015385</v>
      </c>
      <c r="C56" s="100">
        <f t="shared" ref="C56:C66" si="67">S56/1024</f>
        <v>5210.9454425153544</v>
      </c>
      <c r="D56" s="100">
        <f t="shared" ref="D56:D66" si="68">T56/1024</f>
        <v>32.463771162334474</v>
      </c>
      <c r="E56" s="100">
        <f t="shared" ref="E56:E66" si="69">U56/1024</f>
        <v>5.5619596432734371E-3</v>
      </c>
      <c r="F56" s="100">
        <f t="shared" ref="F56:F66" si="70">V56/1024</f>
        <v>995.03002440029127</v>
      </c>
      <c r="G56" s="100">
        <f t="shared" ref="G56:G66" si="71">W56/1024</f>
        <v>3.3444476908789453</v>
      </c>
      <c r="H56" s="100">
        <f t="shared" ref="H56:H66" si="72">X56/1024</f>
        <v>938.8270839365332</v>
      </c>
      <c r="I56" s="100">
        <f t="shared" ref="I56:I66" si="73">Y56/1024</f>
        <v>1731.1098955356661</v>
      </c>
      <c r="J56" s="100">
        <f t="shared" ref="J56:J66" si="74">Z56/1024</f>
        <v>583.51239677684782</v>
      </c>
      <c r="K56" s="100">
        <f t="shared" ref="K56:K66" si="75">AA56/1024</f>
        <v>245.44548310141221</v>
      </c>
      <c r="L56" s="100">
        <f t="shared" ref="L56:L66" si="76">AB56/1024</f>
        <v>183.22943250109364</v>
      </c>
      <c r="M56" s="100">
        <f t="shared" ref="M56:M66" si="77">AC56/1024</f>
        <v>366.16278359875196</v>
      </c>
      <c r="N56" s="100">
        <f t="shared" ref="N56:N66" si="78">AD56/1024</f>
        <v>1.4269449005514552</v>
      </c>
      <c r="O56" s="100">
        <f t="shared" si="63"/>
        <v>11068.131263619514</v>
      </c>
      <c r="Q56" s="101" t="str">
        <f t="shared" si="64"/>
        <v>2024-11</v>
      </c>
      <c r="R56" s="281">
        <v>795267.06743311754</v>
      </c>
      <c r="S56" s="281">
        <v>5336008.133135723</v>
      </c>
      <c r="T56" s="281">
        <v>33242.901670230502</v>
      </c>
      <c r="U56" s="282">
        <v>5.6954466747119996</v>
      </c>
      <c r="V56" s="281">
        <v>1018910.7449858983</v>
      </c>
      <c r="W56" s="281">
        <v>3424.71443546004</v>
      </c>
      <c r="X56" s="281">
        <v>961358.93395101</v>
      </c>
      <c r="Y56" s="281">
        <v>1772656.533028522</v>
      </c>
      <c r="Z56" s="281">
        <v>597516.69429949217</v>
      </c>
      <c r="AA56" s="281">
        <v>251336.1746958461</v>
      </c>
      <c r="AB56" s="281">
        <v>187626.93888111989</v>
      </c>
      <c r="AC56" s="281">
        <v>374950.690405122</v>
      </c>
      <c r="AD56" s="281">
        <v>1461.1915781646901</v>
      </c>
      <c r="AE56" s="118">
        <f t="shared" si="65"/>
        <v>11333766.413946383</v>
      </c>
    </row>
    <row r="57" spans="1:31" x14ac:dyDescent="0.15">
      <c r="A57" s="101" t="str">
        <f t="shared" si="61"/>
        <v>2024-12</v>
      </c>
      <c r="B57" s="100">
        <f t="shared" si="66"/>
        <v>645.08355619693407</v>
      </c>
      <c r="C57" s="100">
        <f t="shared" si="67"/>
        <v>5560.5652060801094</v>
      </c>
      <c r="D57" s="100">
        <f t="shared" si="68"/>
        <v>37.995436958824904</v>
      </c>
      <c r="E57" s="100">
        <f t="shared" si="69"/>
        <v>7.0457432584589644E-3</v>
      </c>
      <c r="F57" s="100">
        <f t="shared" si="70"/>
        <v>1004.9052908025063</v>
      </c>
      <c r="G57" s="100">
        <f t="shared" si="71"/>
        <v>4.2370494937977048</v>
      </c>
      <c r="H57" s="100">
        <f t="shared" si="72"/>
        <v>1041.8121757203135</v>
      </c>
      <c r="I57" s="100">
        <f t="shared" si="73"/>
        <v>1742.7202393401749</v>
      </c>
      <c r="J57" s="100">
        <f t="shared" si="74"/>
        <v>540.00827870989076</v>
      </c>
      <c r="K57" s="100">
        <f t="shared" si="75"/>
        <v>326.53517474910689</v>
      </c>
      <c r="L57" s="100">
        <f t="shared" si="76"/>
        <v>120.05904185383417</v>
      </c>
      <c r="M57" s="100">
        <f t="shared" si="77"/>
        <v>548.74589548489746</v>
      </c>
      <c r="N57" s="100">
        <f t="shared" si="78"/>
        <v>0.42905874885946094</v>
      </c>
      <c r="O57" s="100">
        <f t="shared" si="63"/>
        <v>11573.103449882508</v>
      </c>
      <c r="Q57" s="101" t="str">
        <f t="shared" si="64"/>
        <v>2024-12</v>
      </c>
      <c r="R57" s="281">
        <v>660565.56154566049</v>
      </c>
      <c r="S57" s="281">
        <v>5694018.771026032</v>
      </c>
      <c r="T57" s="281">
        <v>38907.327445836701</v>
      </c>
      <c r="U57" s="282">
        <v>7.2148410966619796</v>
      </c>
      <c r="V57" s="281">
        <v>1029023.0177817665</v>
      </c>
      <c r="W57" s="281">
        <v>4338.7386816488497</v>
      </c>
      <c r="X57" s="281">
        <v>1066815.667937601</v>
      </c>
      <c r="Y57" s="281">
        <v>1784545.5250843391</v>
      </c>
      <c r="Z57" s="281">
        <v>552968.47739892814</v>
      </c>
      <c r="AA57" s="281">
        <v>334372.01894308545</v>
      </c>
      <c r="AB57" s="281">
        <v>122940.45885832619</v>
      </c>
      <c r="AC57" s="281">
        <v>561915.796976535</v>
      </c>
      <c r="AD57" s="281">
        <v>439.356158832088</v>
      </c>
      <c r="AE57" s="118">
        <f t="shared" si="65"/>
        <v>11850857.932679689</v>
      </c>
    </row>
    <row r="58" spans="1:31" x14ac:dyDescent="0.15">
      <c r="A58" s="101" t="str">
        <f t="shared" si="61"/>
        <v>2025-01</v>
      </c>
      <c r="B58" s="100">
        <f t="shared" si="66"/>
        <v>663.4839477435728</v>
      </c>
      <c r="C58" s="100">
        <f t="shared" si="67"/>
        <v>5661.5968442976437</v>
      </c>
      <c r="D58" s="100">
        <f t="shared" si="68"/>
        <v>41.4919200459207</v>
      </c>
      <c r="E58" s="100">
        <f t="shared" si="69"/>
        <v>1.6032222156354687E-3</v>
      </c>
      <c r="F58" s="100">
        <f t="shared" si="70"/>
        <v>1107.2169946460513</v>
      </c>
      <c r="G58" s="100">
        <f t="shared" si="71"/>
        <v>6.3637251993359278</v>
      </c>
      <c r="H58" s="100">
        <f t="shared" si="72"/>
        <v>931.74086162689355</v>
      </c>
      <c r="I58" s="100">
        <f t="shared" si="73"/>
        <v>1728.6821713130548</v>
      </c>
      <c r="J58" s="100">
        <f t="shared" si="74"/>
        <v>402.1425901705822</v>
      </c>
      <c r="K58" s="100">
        <f t="shared" si="75"/>
        <v>245.23635552863018</v>
      </c>
      <c r="L58" s="100">
        <f t="shared" si="76"/>
        <v>176.65544008320802</v>
      </c>
      <c r="M58" s="100">
        <f t="shared" si="77"/>
        <v>369.61677598853811</v>
      </c>
      <c r="N58" s="100">
        <f t="shared" si="78"/>
        <v>2.1756459334164844</v>
      </c>
      <c r="O58" s="100">
        <f t="shared" si="63"/>
        <v>11336.404875799062</v>
      </c>
      <c r="Q58" s="101" t="str">
        <f t="shared" si="64"/>
        <v>2025-01</v>
      </c>
      <c r="R58" s="281">
        <v>679407.56248941855</v>
      </c>
      <c r="S58" s="281">
        <v>5797475.1685607871</v>
      </c>
      <c r="T58" s="281">
        <v>42487.726127022797</v>
      </c>
      <c r="U58" s="282">
        <v>1.64169954881072</v>
      </c>
      <c r="V58" s="281">
        <v>1133790.2025175565</v>
      </c>
      <c r="W58" s="281">
        <v>6516.4546041199901</v>
      </c>
      <c r="X58" s="281">
        <v>954102.64230593899</v>
      </c>
      <c r="Y58" s="281">
        <v>1770170.5434245681</v>
      </c>
      <c r="Z58" s="281">
        <v>411794.01233467617</v>
      </c>
      <c r="AA58" s="281">
        <v>251122.02806131731</v>
      </c>
      <c r="AB58" s="281">
        <v>180895.17064520501</v>
      </c>
      <c r="AC58" s="281">
        <v>378487.57861226302</v>
      </c>
      <c r="AD58" s="281">
        <v>2227.86143581848</v>
      </c>
      <c r="AE58" s="118">
        <f t="shared" si="65"/>
        <v>11608478.59281824</v>
      </c>
    </row>
    <row r="59" spans="1:31" x14ac:dyDescent="0.15">
      <c r="A59" s="101" t="str">
        <f t="shared" si="61"/>
        <v>2025-02</v>
      </c>
      <c r="B59" s="100">
        <f t="shared" si="66"/>
        <v>688.45201865220906</v>
      </c>
      <c r="C59" s="100">
        <f t="shared" si="67"/>
        <v>6417.020372162131</v>
      </c>
      <c r="D59" s="100">
        <f t="shared" si="68"/>
        <v>35.628366800751756</v>
      </c>
      <c r="E59" s="100">
        <f t="shared" si="69"/>
        <v>3.3779722079998438E-3</v>
      </c>
      <c r="F59" s="100">
        <f t="shared" si="70"/>
        <v>1062.1119636400545</v>
      </c>
      <c r="G59" s="100">
        <f t="shared" si="71"/>
        <v>3.0225448707942579</v>
      </c>
      <c r="H59" s="100">
        <f t="shared" si="72"/>
        <v>1542.9071367426691</v>
      </c>
      <c r="I59" s="100">
        <f t="shared" si="73"/>
        <v>1723.6285326594111</v>
      </c>
      <c r="J59" s="100">
        <f t="shared" si="74"/>
        <v>3439.3089268362655</v>
      </c>
      <c r="K59" s="100">
        <f t="shared" si="75"/>
        <v>352.8245399296826</v>
      </c>
      <c r="L59" s="100">
        <f t="shared" si="76"/>
        <v>197.25140473166874</v>
      </c>
      <c r="M59" s="100">
        <f t="shared" si="77"/>
        <v>331.91550336686623</v>
      </c>
      <c r="N59" s="100">
        <f t="shared" si="78"/>
        <v>2.8019707202402051</v>
      </c>
      <c r="O59" s="100">
        <f t="shared" si="63"/>
        <v>15796.876659084954</v>
      </c>
      <c r="Q59" s="101" t="str">
        <f t="shared" si="64"/>
        <v>2025-02</v>
      </c>
      <c r="R59" s="281">
        <v>704974.86709986208</v>
      </c>
      <c r="S59" s="281">
        <v>6571028.8610940222</v>
      </c>
      <c r="T59" s="281">
        <v>36483.447603969798</v>
      </c>
      <c r="U59" s="282">
        <v>3.4590435409918401</v>
      </c>
      <c r="V59" s="281">
        <v>1087602.6507674158</v>
      </c>
      <c r="W59" s="281">
        <v>3095.0859476933201</v>
      </c>
      <c r="X59" s="281">
        <v>1579936.9080244931</v>
      </c>
      <c r="Y59" s="281">
        <v>1764995.617443237</v>
      </c>
      <c r="Z59" s="281">
        <v>3521852.3410803359</v>
      </c>
      <c r="AA59" s="281">
        <v>361292.32888799498</v>
      </c>
      <c r="AB59" s="281">
        <v>201985.43844522879</v>
      </c>
      <c r="AC59" s="281">
        <v>339881.47544767102</v>
      </c>
      <c r="AD59" s="281">
        <v>2869.21801752597</v>
      </c>
      <c r="AE59" s="118">
        <f t="shared" si="65"/>
        <v>16176001.698902993</v>
      </c>
    </row>
    <row r="60" spans="1:31" x14ac:dyDescent="0.15">
      <c r="A60" s="101" t="str">
        <f t="shared" si="61"/>
        <v>2025-03</v>
      </c>
      <c r="B60" s="100">
        <f t="shared" si="66"/>
        <v>658.73735252399149</v>
      </c>
      <c r="C60" s="100">
        <f t="shared" si="67"/>
        <v>7450.1068859953939</v>
      </c>
      <c r="D60" s="100">
        <f t="shared" si="68"/>
        <v>114.44395823355762</v>
      </c>
      <c r="E60" s="100">
        <f t="shared" si="69"/>
        <v>2.616705755826836E-3</v>
      </c>
      <c r="F60" s="100">
        <f t="shared" si="70"/>
        <v>1501.1015933273297</v>
      </c>
      <c r="G60" s="100">
        <f t="shared" si="71"/>
        <v>3.6841783688178027</v>
      </c>
      <c r="H60" s="100">
        <f t="shared" si="72"/>
        <v>1250.3814255351554</v>
      </c>
      <c r="I60" s="100">
        <f t="shared" si="73"/>
        <v>4276.1268646838653</v>
      </c>
      <c r="J60" s="100">
        <f t="shared" si="74"/>
        <v>1060.1490411768091</v>
      </c>
      <c r="K60" s="100">
        <f t="shared" si="75"/>
        <v>330.64573663738889</v>
      </c>
      <c r="L60" s="100">
        <f t="shared" si="76"/>
        <v>592.11840947696192</v>
      </c>
      <c r="M60" s="100">
        <f t="shared" si="77"/>
        <v>312.20528922535647</v>
      </c>
      <c r="N60" s="100">
        <f t="shared" si="78"/>
        <v>11.534405753851367</v>
      </c>
      <c r="O60" s="100">
        <f t="shared" si="63"/>
        <v>17561.237757644234</v>
      </c>
      <c r="Q60" s="101" t="str">
        <f t="shared" si="64"/>
        <v>2025-03</v>
      </c>
      <c r="R60" s="281">
        <v>674547.04898456729</v>
      </c>
      <c r="S60" s="281">
        <v>7628909.4512592833</v>
      </c>
      <c r="T60" s="281">
        <v>117190.61323116301</v>
      </c>
      <c r="U60" s="282">
        <v>2.6795066939666801</v>
      </c>
      <c r="V60" s="281">
        <v>1537128.0315671857</v>
      </c>
      <c r="W60" s="281">
        <v>3772.59864966943</v>
      </c>
      <c r="X60" s="281">
        <v>1280390.5797479991</v>
      </c>
      <c r="Y60" s="281">
        <v>4378753.909436278</v>
      </c>
      <c r="Z60" s="281">
        <v>1085592.6181650525</v>
      </c>
      <c r="AA60" s="281">
        <v>338581.23431668623</v>
      </c>
      <c r="AB60" s="281">
        <v>606329.251304409</v>
      </c>
      <c r="AC60" s="281">
        <v>319698.21616676502</v>
      </c>
      <c r="AD60" s="281">
        <v>11811.231491943799</v>
      </c>
      <c r="AE60" s="118">
        <f t="shared" si="65"/>
        <v>17982707.463827696</v>
      </c>
    </row>
    <row r="61" spans="1:31" x14ac:dyDescent="0.15">
      <c r="A61" s="101" t="str">
        <f t="shared" si="61"/>
        <v>2025-04</v>
      </c>
      <c r="B61" s="100">
        <f t="shared" si="66"/>
        <v>713.85830855642473</v>
      </c>
      <c r="C61" s="100">
        <f t="shared" si="67"/>
        <v>5994.5131756183673</v>
      </c>
      <c r="D61" s="100">
        <f t="shared" si="68"/>
        <v>319.55220146336717</v>
      </c>
      <c r="E61" s="100">
        <f t="shared" si="69"/>
        <v>5.1152402520528908E-3</v>
      </c>
      <c r="F61" s="100">
        <f t="shared" si="70"/>
        <v>1663.6615498034366</v>
      </c>
      <c r="G61" s="100">
        <f t="shared" si="71"/>
        <v>4.1960976370619338</v>
      </c>
      <c r="H61" s="100">
        <f t="shared" si="72"/>
        <v>1636.9677492626643</v>
      </c>
      <c r="I61" s="100">
        <f t="shared" si="73"/>
        <v>3804.3813792477576</v>
      </c>
      <c r="J61" s="100">
        <f t="shared" si="74"/>
        <v>2290.7488225317989</v>
      </c>
      <c r="K61" s="100">
        <f t="shared" si="75"/>
        <v>264.53975363053576</v>
      </c>
      <c r="L61" s="100">
        <f t="shared" si="76"/>
        <v>332.38507209171775</v>
      </c>
      <c r="M61" s="100">
        <f t="shared" si="77"/>
        <v>288.12178723394919</v>
      </c>
      <c r="N61" s="100">
        <f t="shared" si="78"/>
        <v>1.3707018476652539</v>
      </c>
      <c r="O61" s="100">
        <f t="shared" si="63"/>
        <v>17314.301714164994</v>
      </c>
      <c r="Q61" s="101" t="str">
        <f t="shared" si="64"/>
        <v>2025-04</v>
      </c>
      <c r="R61" s="281">
        <v>730990.90796177892</v>
      </c>
      <c r="S61" s="281">
        <v>6138381.4918332081</v>
      </c>
      <c r="T61" s="281">
        <v>327221.45429848798</v>
      </c>
      <c r="U61" s="282">
        <v>5.2380060181021602</v>
      </c>
      <c r="V61" s="281">
        <v>1703589.4269987191</v>
      </c>
      <c r="W61" s="281">
        <v>4296.8039803514203</v>
      </c>
      <c r="X61" s="281">
        <v>1676254.9752449682</v>
      </c>
      <c r="Y61" s="281">
        <v>3895686.5323497038</v>
      </c>
      <c r="Z61" s="281">
        <v>2345726.794272562</v>
      </c>
      <c r="AA61" s="281">
        <v>270888.70771766861</v>
      </c>
      <c r="AB61" s="281">
        <v>340362.31382191897</v>
      </c>
      <c r="AC61" s="281">
        <v>295036.71012756397</v>
      </c>
      <c r="AD61" s="281">
        <v>1403.59869200922</v>
      </c>
      <c r="AE61" s="118">
        <f t="shared" si="65"/>
        <v>17729844.955304954</v>
      </c>
    </row>
    <row r="62" spans="1:31" x14ac:dyDescent="0.15">
      <c r="A62" s="101" t="str">
        <f t="shared" si="61"/>
        <v>2025-05</v>
      </c>
      <c r="B62" s="100">
        <f t="shared" si="66"/>
        <v>13685.301954294046</v>
      </c>
      <c r="C62" s="100">
        <f t="shared" si="67"/>
        <v>7014.8091028229419</v>
      </c>
      <c r="D62" s="100">
        <f t="shared" si="68"/>
        <v>426.92262794632029</v>
      </c>
      <c r="E62" s="100">
        <f t="shared" si="69"/>
        <v>1.56373434265333E-2</v>
      </c>
      <c r="F62" s="100">
        <f t="shared" si="70"/>
        <v>3547.6530905696882</v>
      </c>
      <c r="G62" s="100">
        <f t="shared" si="71"/>
        <v>1.9568293709844433</v>
      </c>
      <c r="H62" s="100">
        <f t="shared" si="72"/>
        <v>1644.3670739968311</v>
      </c>
      <c r="I62" s="100">
        <f t="shared" si="73"/>
        <v>5594.6965134778111</v>
      </c>
      <c r="J62" s="100">
        <f t="shared" si="74"/>
        <v>1306.0667908874125</v>
      </c>
      <c r="K62" s="100">
        <f t="shared" si="75"/>
        <v>440.52377930783803</v>
      </c>
      <c r="L62" s="100">
        <f t="shared" si="76"/>
        <v>179.50488503985233</v>
      </c>
      <c r="M62" s="100">
        <f t="shared" si="77"/>
        <v>371.96267457087009</v>
      </c>
      <c r="N62" s="100">
        <f t="shared" si="78"/>
        <v>1.1293772130884374</v>
      </c>
      <c r="O62" s="100">
        <f t="shared" si="63"/>
        <v>34214.910336841116</v>
      </c>
      <c r="Q62" s="101" t="str">
        <f t="shared" si="64"/>
        <v>2025-05</v>
      </c>
      <c r="R62" s="281">
        <v>14013749.201197103</v>
      </c>
      <c r="S62" s="281">
        <v>7183164.5212906925</v>
      </c>
      <c r="T62" s="281">
        <v>437168.77101703198</v>
      </c>
      <c r="U62" s="282">
        <v>16.012639668770099</v>
      </c>
      <c r="V62" s="281">
        <v>3632796.7647433607</v>
      </c>
      <c r="W62" s="281">
        <v>2003.79327588807</v>
      </c>
      <c r="X62" s="281">
        <v>1683831.883772755</v>
      </c>
      <c r="Y62" s="281">
        <v>5728969.2298012786</v>
      </c>
      <c r="Z62" s="281">
        <v>1337412.3938687104</v>
      </c>
      <c r="AA62" s="281">
        <v>451096.35001122614</v>
      </c>
      <c r="AB62" s="281">
        <v>183813.00228080878</v>
      </c>
      <c r="AC62" s="281">
        <v>380889.77876057097</v>
      </c>
      <c r="AD62" s="281">
        <v>1156.4822662025599</v>
      </c>
      <c r="AE62" s="118">
        <f t="shared" si="65"/>
        <v>35036068.184925303</v>
      </c>
    </row>
    <row r="63" spans="1:31" x14ac:dyDescent="0.15">
      <c r="A63" s="101" t="str">
        <f t="shared" si="61"/>
        <v>2025-06</v>
      </c>
      <c r="B63" s="100">
        <f t="shared" si="66"/>
        <v>748.2542652037987</v>
      </c>
      <c r="C63" s="100">
        <f t="shared" si="67"/>
        <v>5916.8109818539369</v>
      </c>
      <c r="D63" s="100">
        <f t="shared" si="68"/>
        <v>204.96052078734667</v>
      </c>
      <c r="E63" s="100">
        <f t="shared" si="69"/>
        <v>2.4019352980758399E-2</v>
      </c>
      <c r="F63" s="100">
        <f t="shared" si="70"/>
        <v>1818.5244880742932</v>
      </c>
      <c r="G63" s="100">
        <f t="shared" si="71"/>
        <v>5.9386610168530662</v>
      </c>
      <c r="H63" s="100">
        <f t="shared" si="72"/>
        <v>1890.3897882060489</v>
      </c>
      <c r="I63" s="100">
        <f t="shared" si="73"/>
        <v>5553.440652113678</v>
      </c>
      <c r="J63" s="100">
        <f t="shared" si="74"/>
        <v>1077.9015415796296</v>
      </c>
      <c r="K63" s="100">
        <f t="shared" si="75"/>
        <v>326.42774972147072</v>
      </c>
      <c r="L63" s="100">
        <f t="shared" si="76"/>
        <v>97.352230198211032</v>
      </c>
      <c r="M63" s="100">
        <f t="shared" si="77"/>
        <v>490.89644428735937</v>
      </c>
      <c r="N63" s="100">
        <f t="shared" si="78"/>
        <v>0.83251841138189742</v>
      </c>
      <c r="O63" s="100">
        <f t="shared" si="63"/>
        <v>18131.753860806992</v>
      </c>
      <c r="Q63" s="101" t="str">
        <f t="shared" si="64"/>
        <v>2025-06</v>
      </c>
      <c r="R63" s="281">
        <v>766212.36756868986</v>
      </c>
      <c r="S63" s="281">
        <v>6058814.4454184314</v>
      </c>
      <c r="T63" s="281">
        <v>209879.57328624299</v>
      </c>
      <c r="U63" s="282">
        <v>24.5958174522966</v>
      </c>
      <c r="V63" s="281">
        <v>1862169.0757880763</v>
      </c>
      <c r="W63" s="281">
        <v>6081.1888812575398</v>
      </c>
      <c r="X63" s="281">
        <v>1935759.1431229941</v>
      </c>
      <c r="Y63" s="281">
        <v>5686723.2277644062</v>
      </c>
      <c r="Z63" s="281">
        <v>1103771.1785775407</v>
      </c>
      <c r="AA63" s="281">
        <v>334262.01571478602</v>
      </c>
      <c r="AB63" s="281">
        <v>99688.683722968097</v>
      </c>
      <c r="AC63" s="281">
        <v>502677.958950256</v>
      </c>
      <c r="AD63" s="281">
        <v>852.49885325506295</v>
      </c>
      <c r="AE63" s="118">
        <f t="shared" si="65"/>
        <v>18566915.95346636</v>
      </c>
    </row>
    <row r="64" spans="1:31" x14ac:dyDescent="0.15">
      <c r="A64" s="101" t="str">
        <f t="shared" si="61"/>
        <v>2025-07</v>
      </c>
      <c r="B64" s="100">
        <f t="shared" si="66"/>
        <v>755.92642214256512</v>
      </c>
      <c r="C64" s="100">
        <f t="shared" si="67"/>
        <v>8022.4082810539821</v>
      </c>
      <c r="D64" s="100">
        <f t="shared" si="68"/>
        <v>172.97240046085449</v>
      </c>
      <c r="E64" s="100">
        <f t="shared" si="69"/>
        <v>1.7264475332758495</v>
      </c>
      <c r="F64" s="100">
        <f t="shared" si="70"/>
        <v>1522.2562435187342</v>
      </c>
      <c r="G64" s="100">
        <f t="shared" si="71"/>
        <v>3.3951109913859865</v>
      </c>
      <c r="H64" s="100">
        <f t="shared" si="72"/>
        <v>2180.1537108222587</v>
      </c>
      <c r="I64" s="100">
        <f t="shared" si="73"/>
        <v>5793.0165554351206</v>
      </c>
      <c r="J64" s="100">
        <f t="shared" si="74"/>
        <v>2957.8533425178739</v>
      </c>
      <c r="K64" s="100">
        <f t="shared" si="75"/>
        <v>334.13346888008982</v>
      </c>
      <c r="L64" s="100">
        <f t="shared" si="76"/>
        <v>221.55651497498047</v>
      </c>
      <c r="M64" s="100">
        <f t="shared" si="77"/>
        <v>316.86216514366697</v>
      </c>
      <c r="N64" s="100">
        <f t="shared" si="78"/>
        <v>1.2532639366554492</v>
      </c>
      <c r="O64" s="100">
        <f t="shared" si="63"/>
        <v>22283.513927411441</v>
      </c>
      <c r="Q64" s="101" t="str">
        <f t="shared" si="64"/>
        <v>2025-07</v>
      </c>
      <c r="R64" s="281">
        <v>774068.65627398668</v>
      </c>
      <c r="S64" s="281">
        <v>8214946.0797992777</v>
      </c>
      <c r="T64" s="281">
        <v>177123.738071915</v>
      </c>
      <c r="U64" s="282">
        <v>1767.8822740744699</v>
      </c>
      <c r="V64" s="281">
        <v>1558790.3933631838</v>
      </c>
      <c r="W64" s="281">
        <v>3476.5936551792502</v>
      </c>
      <c r="X64" s="281">
        <v>2232477.399881993</v>
      </c>
      <c r="Y64" s="281">
        <v>5932048.9527655635</v>
      </c>
      <c r="Z64" s="281">
        <v>3028841.8227383029</v>
      </c>
      <c r="AA64" s="281">
        <v>342152.67213321198</v>
      </c>
      <c r="AB64" s="281">
        <v>226873.87133438</v>
      </c>
      <c r="AC64" s="281">
        <v>324466.85710711498</v>
      </c>
      <c r="AD64" s="281">
        <v>1283.34227113518</v>
      </c>
      <c r="AE64" s="118">
        <f t="shared" si="65"/>
        <v>22818318.261669315</v>
      </c>
    </row>
    <row r="65" spans="1:31" x14ac:dyDescent="0.15">
      <c r="A65" s="101" t="str">
        <f t="shared" si="61"/>
        <v>2025-08</v>
      </c>
      <c r="B65" s="100">
        <f t="shared" si="66"/>
        <v>641.79075433927096</v>
      </c>
      <c r="C65" s="100">
        <f t="shared" si="67"/>
        <v>7870.145304517845</v>
      </c>
      <c r="D65" s="100">
        <f t="shared" si="68"/>
        <v>42.998874731788376</v>
      </c>
      <c r="E65" s="100">
        <f t="shared" si="69"/>
        <v>9.979847755675976E-2</v>
      </c>
      <c r="F65" s="100">
        <f t="shared" si="70"/>
        <v>1252.5700906814091</v>
      </c>
      <c r="G65" s="100">
        <f t="shared" si="71"/>
        <v>1.7583178662698535</v>
      </c>
      <c r="H65" s="100">
        <f t="shared" si="72"/>
        <v>2140.739805746543</v>
      </c>
      <c r="I65" s="100">
        <f t="shared" si="73"/>
        <v>4444.7989614292655</v>
      </c>
      <c r="J65" s="100">
        <f t="shared" si="74"/>
        <v>1591.9756927414501</v>
      </c>
      <c r="K65" s="100">
        <f t="shared" si="75"/>
        <v>262.61312424264065</v>
      </c>
      <c r="L65" s="100">
        <f t="shared" si="76"/>
        <v>252.37906412286642</v>
      </c>
      <c r="M65" s="100">
        <f t="shared" si="77"/>
        <v>256.92745222841211</v>
      </c>
      <c r="N65" s="100">
        <f t="shared" si="78"/>
        <v>0.27934708570228323</v>
      </c>
      <c r="O65" s="100">
        <f t="shared" si="63"/>
        <v>18759.076588211021</v>
      </c>
      <c r="Q65" s="101" t="str">
        <f t="shared" si="64"/>
        <v>2025-08</v>
      </c>
      <c r="R65" s="281">
        <v>657193.73244341346</v>
      </c>
      <c r="S65" s="281">
        <v>8059028.7918262733</v>
      </c>
      <c r="T65" s="281">
        <v>44030.847725351297</v>
      </c>
      <c r="U65" s="282">
        <v>102.19364101812199</v>
      </c>
      <c r="V65" s="281">
        <v>1282631.7728577629</v>
      </c>
      <c r="W65" s="281">
        <v>1800.51749506033</v>
      </c>
      <c r="X65" s="281">
        <v>2192117.56108446</v>
      </c>
      <c r="Y65" s="281">
        <v>4551474.1365035679</v>
      </c>
      <c r="Z65" s="281">
        <v>1630183.1093672449</v>
      </c>
      <c r="AA65" s="281">
        <v>268915.83922446403</v>
      </c>
      <c r="AB65" s="281">
        <v>258436.16166181522</v>
      </c>
      <c r="AC65" s="281">
        <v>263093.711081894</v>
      </c>
      <c r="AD65" s="281">
        <v>286.05141575913802</v>
      </c>
      <c r="AE65" s="118">
        <f t="shared" si="65"/>
        <v>19209294.426328085</v>
      </c>
    </row>
    <row r="66" spans="1:31" x14ac:dyDescent="0.15">
      <c r="A66" s="101" t="str">
        <f t="shared" si="61"/>
        <v>2025-09</v>
      </c>
      <c r="B66" s="100">
        <f t="shared" si="66"/>
        <v>675.20971684110646</v>
      </c>
      <c r="C66" s="100">
        <f t="shared" si="67"/>
        <v>15687.536211957204</v>
      </c>
      <c r="D66" s="100">
        <f t="shared" si="68"/>
        <v>43.228549579568558</v>
      </c>
      <c r="E66" s="100">
        <f t="shared" si="69"/>
        <v>0.16387864648277148</v>
      </c>
      <c r="F66" s="100">
        <f t="shared" si="70"/>
        <v>1275.6536114871742</v>
      </c>
      <c r="G66" s="100">
        <f t="shared" si="71"/>
        <v>4.9857512340522563</v>
      </c>
      <c r="H66" s="100">
        <f t="shared" si="72"/>
        <v>2246.0080167660899</v>
      </c>
      <c r="I66" s="100">
        <f t="shared" si="73"/>
        <v>2409.3196499950818</v>
      </c>
      <c r="J66" s="100">
        <f t="shared" si="74"/>
        <v>3077.748283746716</v>
      </c>
      <c r="K66" s="100">
        <f t="shared" si="75"/>
        <v>274.86435888697264</v>
      </c>
      <c r="L66" s="100">
        <f t="shared" si="76"/>
        <v>139.84193619937295</v>
      </c>
      <c r="M66" s="100">
        <f t="shared" si="77"/>
        <v>369.11346244466995</v>
      </c>
      <c r="N66" s="100">
        <f t="shared" si="78"/>
        <v>8.0499425411289849E-2</v>
      </c>
      <c r="O66" s="100">
        <f t="shared" si="63"/>
        <v>26203.753927209902</v>
      </c>
      <c r="Q66" s="101" t="str">
        <f t="shared" si="64"/>
        <v>2025-09</v>
      </c>
      <c r="R66" s="281">
        <v>691414.75004529301</v>
      </c>
      <c r="S66" s="281">
        <v>16064037.081044177</v>
      </c>
      <c r="T66" s="281">
        <v>44266.034769478203</v>
      </c>
      <c r="U66" s="282">
        <v>167.81173399835799</v>
      </c>
      <c r="V66" s="281">
        <v>1306269.2981628664</v>
      </c>
      <c r="W66" s="281">
        <v>5105.4092636695104</v>
      </c>
      <c r="X66" s="281">
        <v>2299912.2091684761</v>
      </c>
      <c r="Y66" s="281">
        <v>2467143.3215949638</v>
      </c>
      <c r="Z66" s="281">
        <v>3151614.2425566372</v>
      </c>
      <c r="AA66" s="281">
        <v>281461.10350025998</v>
      </c>
      <c r="AB66" s="281">
        <v>143198.1426681579</v>
      </c>
      <c r="AC66" s="281">
        <v>377972.18554334203</v>
      </c>
      <c r="AD66" s="281">
        <v>82.431411621160805</v>
      </c>
      <c r="AE66" s="118">
        <f t="shared" si="65"/>
        <v>26832644.02146294</v>
      </c>
    </row>
    <row r="67" spans="1:31" x14ac:dyDescent="0.15">
      <c r="A67" s="102" t="s">
        <v>15</v>
      </c>
      <c r="B67" s="100">
        <f>SUM(B55:B66)</f>
        <v>21456.394719662607</v>
      </c>
      <c r="C67" s="100">
        <f t="shared" ref="C67:N67" si="79">SUM(C55:C66)</f>
        <v>86806.466648276764</v>
      </c>
      <c r="D67" s="100">
        <f t="shared" si="79"/>
        <v>1508.5462092773241</v>
      </c>
      <c r="E67" s="100">
        <f t="shared" si="79"/>
        <v>2.0720568393326069</v>
      </c>
      <c r="F67" s="100">
        <f t="shared" si="79"/>
        <v>17779.891098175529</v>
      </c>
      <c r="G67" s="100">
        <f t="shared" si="79"/>
        <v>48.377376769058102</v>
      </c>
      <c r="H67" s="100">
        <f t="shared" si="79"/>
        <v>18806.544330172528</v>
      </c>
      <c r="I67" s="100">
        <f t="shared" si="79"/>
        <v>40832.780262161556</v>
      </c>
      <c r="J67" s="100">
        <f t="shared" si="79"/>
        <v>19040.517111921763</v>
      </c>
      <c r="K67" s="100">
        <f t="shared" si="79"/>
        <v>3590.8465475862404</v>
      </c>
      <c r="L67" s="100">
        <f t="shared" si="79"/>
        <v>2722.0789968397062</v>
      </c>
      <c r="M67" s="100">
        <f t="shared" si="79"/>
        <v>4325.0380257007191</v>
      </c>
      <c r="N67" s="100">
        <f t="shared" si="79"/>
        <v>27.406947322416215</v>
      </c>
      <c r="O67" s="100">
        <f t="shared" si="63"/>
        <v>216946.96033070557</v>
      </c>
      <c r="Q67" s="102" t="s">
        <v>15</v>
      </c>
      <c r="R67" s="118">
        <f>SUM(R55:R66)</f>
        <v>21971348.192934509</v>
      </c>
      <c r="S67" s="118">
        <f t="shared" ref="S67:AE67" si="80">SUM(S55:S66)</f>
        <v>88889821.847835407</v>
      </c>
      <c r="T67" s="118">
        <f t="shared" si="80"/>
        <v>1544751.3182999799</v>
      </c>
      <c r="U67" s="173"/>
      <c r="V67" s="118">
        <f t="shared" si="80"/>
        <v>18206608.484531742</v>
      </c>
      <c r="W67" s="118">
        <f t="shared" si="80"/>
        <v>49538.433811515497</v>
      </c>
      <c r="X67" s="118">
        <f t="shared" si="80"/>
        <v>19257901.394096669</v>
      </c>
      <c r="Y67" s="118">
        <f t="shared" si="80"/>
        <v>41812766.988453433</v>
      </c>
      <c r="Z67" s="118">
        <f t="shared" si="80"/>
        <v>19497489.522607885</v>
      </c>
      <c r="AA67" s="118">
        <f t="shared" si="80"/>
        <v>3677026.8647283101</v>
      </c>
      <c r="AB67" s="118">
        <f t="shared" si="80"/>
        <v>2787408.8927638591</v>
      </c>
      <c r="AC67" s="118">
        <f t="shared" si="80"/>
        <v>4428838.9383175364</v>
      </c>
      <c r="AD67" s="118">
        <f t="shared" si="80"/>
        <v>28064.714058154204</v>
      </c>
      <c r="AE67" s="118">
        <f t="shared" si="80"/>
        <v>222153687.37864247</v>
      </c>
    </row>
    <row r="68" spans="1:31" x14ac:dyDescent="0.15">
      <c r="A68" s="104" t="s">
        <v>29</v>
      </c>
      <c r="B68" s="103">
        <f>AVERAGE(B55:B66)</f>
        <v>1788.0328933052172</v>
      </c>
      <c r="C68" s="103">
        <f t="shared" ref="C68:N68" si="81">AVERAGE(C55:C66)</f>
        <v>7233.8722206897301</v>
      </c>
      <c r="D68" s="103">
        <f t="shared" si="81"/>
        <v>125.71218410644367</v>
      </c>
      <c r="E68" s="103"/>
      <c r="F68" s="103">
        <f t="shared" si="81"/>
        <v>1481.6575915146275</v>
      </c>
      <c r="G68" s="103">
        <f t="shared" si="81"/>
        <v>4.0314480640881749</v>
      </c>
      <c r="H68" s="103">
        <f t="shared" si="81"/>
        <v>1567.2120275143773</v>
      </c>
      <c r="I68" s="103">
        <f t="shared" si="81"/>
        <v>3402.7316885134628</v>
      </c>
      <c r="J68" s="103">
        <f t="shared" si="81"/>
        <v>1586.7097593268136</v>
      </c>
      <c r="K68" s="103">
        <f t="shared" si="81"/>
        <v>299.23721229885336</v>
      </c>
      <c r="L68" s="103">
        <f t="shared" si="81"/>
        <v>226.83991640330885</v>
      </c>
      <c r="M68" s="103">
        <f t="shared" si="81"/>
        <v>360.41983547505993</v>
      </c>
      <c r="N68" s="103">
        <f t="shared" si="81"/>
        <v>2.2839122768680178</v>
      </c>
    </row>
    <row r="69" spans="1:31" x14ac:dyDescent="0.15">
      <c r="A69" s="208" t="s">
        <v>190</v>
      </c>
      <c r="B69" s="278">
        <v>5325.7900261250879</v>
      </c>
      <c r="C69" s="278">
        <v>78999.770487238347</v>
      </c>
      <c r="D69" s="278">
        <v>493.81568473858391</v>
      </c>
      <c r="E69" s="278">
        <v>0.82252045925906669</v>
      </c>
      <c r="F69" s="278">
        <v>13199.778674924022</v>
      </c>
      <c r="G69" s="278">
        <v>29.987305788642473</v>
      </c>
      <c r="H69" s="278">
        <v>26695.945931484617</v>
      </c>
      <c r="I69" s="278">
        <v>14913.204309293022</v>
      </c>
      <c r="J69" s="278">
        <v>12554.571044049933</v>
      </c>
      <c r="K69" s="278">
        <v>1644.2729312570668</v>
      </c>
      <c r="L69" s="278">
        <v>4805.1108017227507</v>
      </c>
      <c r="M69" s="278">
        <v>3222.9995428369325</v>
      </c>
      <c r="N69" s="278">
        <v>51.132992068145491</v>
      </c>
      <c r="O69" s="308">
        <f>SUM(B69:N69)</f>
        <v>161937.20225198637</v>
      </c>
      <c r="Q69" s="32"/>
    </row>
    <row r="71" spans="1:31" x14ac:dyDescent="0.15">
      <c r="B71" s="378" t="s">
        <v>30</v>
      </c>
      <c r="C71" s="379"/>
      <c r="D71" s="379"/>
      <c r="E71" s="379"/>
      <c r="F71" s="379"/>
      <c r="G71" s="379"/>
      <c r="H71" s="379"/>
      <c r="I71" s="379"/>
      <c r="J71" s="379"/>
      <c r="K71" s="379"/>
      <c r="L71" s="379"/>
      <c r="M71" s="379"/>
    </row>
    <row r="72" spans="1:31" ht="28" x14ac:dyDescent="0.15">
      <c r="A72" s="120" t="s">
        <v>16</v>
      </c>
      <c r="B72" s="121" t="s">
        <v>3</v>
      </c>
      <c r="C72" s="121" t="s">
        <v>4</v>
      </c>
      <c r="D72" s="121" t="s">
        <v>5</v>
      </c>
      <c r="E72" s="121" t="s">
        <v>161</v>
      </c>
      <c r="F72" s="121" t="s">
        <v>6</v>
      </c>
      <c r="G72" s="121" t="s">
        <v>7</v>
      </c>
      <c r="H72" s="122" t="s">
        <v>14</v>
      </c>
      <c r="I72" s="123" t="s">
        <v>114</v>
      </c>
      <c r="J72" s="122" t="s">
        <v>8</v>
      </c>
      <c r="K72" s="122" t="s">
        <v>17</v>
      </c>
      <c r="L72" s="122" t="s">
        <v>9</v>
      </c>
      <c r="M72" s="122" t="s">
        <v>12</v>
      </c>
      <c r="N72" s="122" t="s">
        <v>10</v>
      </c>
    </row>
    <row r="73" spans="1:31" x14ac:dyDescent="0.15">
      <c r="A73" s="156" t="str">
        <f>A21</f>
        <v>2024-10</v>
      </c>
      <c r="B73" s="157">
        <f>B55-B$68</f>
        <v>-984.36446567668418</v>
      </c>
      <c r="C73" s="157">
        <f t="shared" ref="C73:D73" si="82">C55-C$68</f>
        <v>-1233.8633812878807</v>
      </c>
      <c r="D73" s="157">
        <f t="shared" si="82"/>
        <v>-89.824602999754603</v>
      </c>
      <c r="E73" s="157"/>
      <c r="F73" s="157">
        <f t="shared" ref="F73:M84" si="83">F55-F$68</f>
        <v>-452.45143429006635</v>
      </c>
      <c r="G73" s="157">
        <f t="shared" si="83"/>
        <v>1.4632149647377428</v>
      </c>
      <c r="H73" s="157">
        <f t="shared" si="83"/>
        <v>-204.96252570384604</v>
      </c>
      <c r="I73" s="157">
        <f t="shared" si="83"/>
        <v>-1371.8728415827939</v>
      </c>
      <c r="J73" s="157">
        <f t="shared" si="83"/>
        <v>-873.60835508032915</v>
      </c>
      <c r="K73" s="157">
        <f t="shared" si="83"/>
        <v>-112.1801893283812</v>
      </c>
      <c r="L73" s="157">
        <f t="shared" si="83"/>
        <v>2.9056491626296292</v>
      </c>
      <c r="M73" s="157">
        <f t="shared" si="83"/>
        <v>-57.912043347679059</v>
      </c>
      <c r="N73" s="157">
        <f t="shared" ref="N73:N84" si="84">N55-N$16</f>
        <v>3.9853731789259603</v>
      </c>
      <c r="O73" s="14"/>
      <c r="P73" s="14"/>
    </row>
    <row r="74" spans="1:31" x14ac:dyDescent="0.15">
      <c r="A74" s="156" t="str">
        <f t="shared" ref="A74:A84" si="85">A22</f>
        <v>2024-11</v>
      </c>
      <c r="B74" s="157">
        <f t="shared" ref="B74:D74" si="86">B56-B$68</f>
        <v>-1011.4048977650633</v>
      </c>
      <c r="C74" s="157">
        <f t="shared" si="86"/>
        <v>-2022.9267781743756</v>
      </c>
      <c r="D74" s="157">
        <f t="shared" si="86"/>
        <v>-93.248412944109191</v>
      </c>
      <c r="E74" s="157"/>
      <c r="F74" s="157">
        <f t="shared" si="83"/>
        <v>-486.62756711433622</v>
      </c>
      <c r="G74" s="157">
        <f t="shared" si="83"/>
        <v>-0.68700037320922958</v>
      </c>
      <c r="H74" s="157">
        <f t="shared" si="83"/>
        <v>-628.38494357784407</v>
      </c>
      <c r="I74" s="157">
        <f t="shared" si="83"/>
        <v>-1671.6217929777968</v>
      </c>
      <c r="J74" s="157">
        <f t="shared" si="83"/>
        <v>-1003.1973625499658</v>
      </c>
      <c r="K74" s="157">
        <f t="shared" si="83"/>
        <v>-53.791729197441157</v>
      </c>
      <c r="L74" s="157">
        <f t="shared" si="83"/>
        <v>-43.610483902215208</v>
      </c>
      <c r="M74" s="157">
        <f t="shared" si="83"/>
        <v>5.742948123692031</v>
      </c>
      <c r="N74" s="157">
        <f t="shared" si="84"/>
        <v>1.3191047338847885</v>
      </c>
    </row>
    <row r="75" spans="1:31" x14ac:dyDescent="0.15">
      <c r="A75" s="156" t="str">
        <f t="shared" si="85"/>
        <v>2024-12</v>
      </c>
      <c r="B75" s="157">
        <f t="shared" ref="B75:D75" si="87">B57-B$68</f>
        <v>-1142.9493371082831</v>
      </c>
      <c r="C75" s="157">
        <f t="shared" si="87"/>
        <v>-1673.3070146096206</v>
      </c>
      <c r="D75" s="157">
        <f t="shared" si="87"/>
        <v>-87.716747147618776</v>
      </c>
      <c r="E75" s="157"/>
      <c r="F75" s="157">
        <f t="shared" si="83"/>
        <v>-476.75230071212115</v>
      </c>
      <c r="G75" s="157">
        <f t="shared" si="83"/>
        <v>0.20560142970952988</v>
      </c>
      <c r="H75" s="157">
        <f t="shared" si="83"/>
        <v>-525.39985179406381</v>
      </c>
      <c r="I75" s="157">
        <f t="shared" si="83"/>
        <v>-1660.0114491732879</v>
      </c>
      <c r="J75" s="157">
        <f t="shared" si="83"/>
        <v>-1046.7014806169227</v>
      </c>
      <c r="K75" s="157">
        <f t="shared" si="83"/>
        <v>27.297962450253522</v>
      </c>
      <c r="L75" s="157">
        <f t="shared" si="83"/>
        <v>-106.78087454947467</v>
      </c>
      <c r="M75" s="157">
        <f t="shared" si="83"/>
        <v>188.32606000983753</v>
      </c>
      <c r="N75" s="157">
        <f t="shared" si="84"/>
        <v>0.32121858219279426</v>
      </c>
    </row>
    <row r="76" spans="1:31" x14ac:dyDescent="0.15">
      <c r="A76" s="156" t="str">
        <f t="shared" si="85"/>
        <v>2025-01</v>
      </c>
      <c r="B76" s="157">
        <f t="shared" ref="B76:D76" si="88">B58-B$68</f>
        <v>-1124.5489455616444</v>
      </c>
      <c r="C76" s="157">
        <f t="shared" si="88"/>
        <v>-1572.2753763920864</v>
      </c>
      <c r="D76" s="157">
        <f t="shared" si="88"/>
        <v>-84.220264060522965</v>
      </c>
      <c r="E76" s="157"/>
      <c r="F76" s="157">
        <f t="shared" si="83"/>
        <v>-374.44059686857622</v>
      </c>
      <c r="G76" s="157">
        <f t="shared" si="83"/>
        <v>2.3322771352477529</v>
      </c>
      <c r="H76" s="157">
        <f t="shared" si="83"/>
        <v>-635.47116588748372</v>
      </c>
      <c r="I76" s="157">
        <f t="shared" si="83"/>
        <v>-1674.049517200408</v>
      </c>
      <c r="J76" s="157">
        <f t="shared" si="83"/>
        <v>-1184.5671691562313</v>
      </c>
      <c r="K76" s="157">
        <f t="shared" si="83"/>
        <v>-54.00085677022318</v>
      </c>
      <c r="L76" s="157">
        <f t="shared" si="83"/>
        <v>-50.184476320100828</v>
      </c>
      <c r="M76" s="157">
        <f t="shared" si="83"/>
        <v>9.1969405134781823</v>
      </c>
      <c r="N76" s="157">
        <f t="shared" si="84"/>
        <v>2.0678057667498178</v>
      </c>
    </row>
    <row r="77" spans="1:31" x14ac:dyDescent="0.15">
      <c r="A77" s="156" t="str">
        <f t="shared" si="85"/>
        <v>2025-02</v>
      </c>
      <c r="B77" s="157">
        <f t="shared" ref="B77:D77" si="89">B59-B$68</f>
        <v>-1099.5808746530081</v>
      </c>
      <c r="C77" s="157">
        <f t="shared" si="89"/>
        <v>-816.85184852759903</v>
      </c>
      <c r="D77" s="157">
        <f t="shared" si="89"/>
        <v>-90.083817305691923</v>
      </c>
      <c r="E77" s="157"/>
      <c r="F77" s="157">
        <f t="shared" si="83"/>
        <v>-419.54562787457303</v>
      </c>
      <c r="G77" s="157">
        <f t="shared" si="83"/>
        <v>-1.008903193293917</v>
      </c>
      <c r="H77" s="157">
        <f t="shared" si="83"/>
        <v>-24.304890771708187</v>
      </c>
      <c r="I77" s="157">
        <f t="shared" si="83"/>
        <v>-1679.1031558540517</v>
      </c>
      <c r="J77" s="157">
        <f t="shared" si="83"/>
        <v>1852.5991675094519</v>
      </c>
      <c r="K77" s="157">
        <f t="shared" si="83"/>
        <v>53.587327630829236</v>
      </c>
      <c r="L77" s="157">
        <f t="shared" si="83"/>
        <v>-29.588511671640106</v>
      </c>
      <c r="M77" s="157">
        <f t="shared" si="83"/>
        <v>-28.504332108193694</v>
      </c>
      <c r="N77" s="157">
        <f t="shared" si="84"/>
        <v>2.6941305535735385</v>
      </c>
    </row>
    <row r="78" spans="1:31" x14ac:dyDescent="0.15">
      <c r="A78" s="156" t="str">
        <f t="shared" si="85"/>
        <v>2025-03</v>
      </c>
      <c r="B78" s="157">
        <f t="shared" ref="B78:D78" si="90">B60-B$68</f>
        <v>-1129.2955407812256</v>
      </c>
      <c r="C78" s="157">
        <f t="shared" si="90"/>
        <v>216.23466530566384</v>
      </c>
      <c r="D78" s="157">
        <f t="shared" si="90"/>
        <v>-11.268225872886049</v>
      </c>
      <c r="E78" s="157"/>
      <c r="F78" s="157">
        <f t="shared" si="83"/>
        <v>19.444001812702254</v>
      </c>
      <c r="G78" s="157">
        <f t="shared" si="83"/>
        <v>-0.34726969527037221</v>
      </c>
      <c r="H78" s="157">
        <f t="shared" si="83"/>
        <v>-316.83060197922191</v>
      </c>
      <c r="I78" s="157">
        <f t="shared" si="83"/>
        <v>873.39517617040246</v>
      </c>
      <c r="J78" s="157">
        <f t="shared" si="83"/>
        <v>-526.5607181500045</v>
      </c>
      <c r="K78" s="157">
        <f t="shared" si="83"/>
        <v>31.408524338535528</v>
      </c>
      <c r="L78" s="157">
        <f t="shared" si="83"/>
        <v>365.27849307365307</v>
      </c>
      <c r="M78" s="157">
        <f t="shared" si="83"/>
        <v>-48.21454624970346</v>
      </c>
      <c r="N78" s="157">
        <f t="shared" si="84"/>
        <v>11.426565587184699</v>
      </c>
    </row>
    <row r="79" spans="1:31" x14ac:dyDescent="0.15">
      <c r="A79" s="156" t="str">
        <f t="shared" si="85"/>
        <v>2025-04</v>
      </c>
      <c r="B79" s="157">
        <f t="shared" ref="B79:D79" si="91">B61-B$68</f>
        <v>-1074.1745847487923</v>
      </c>
      <c r="C79" s="157">
        <f t="shared" si="91"/>
        <v>-1239.3590450713627</v>
      </c>
      <c r="D79" s="157">
        <f t="shared" si="91"/>
        <v>193.84001735692351</v>
      </c>
      <c r="E79" s="157"/>
      <c r="F79" s="157">
        <f t="shared" si="83"/>
        <v>182.00395828880914</v>
      </c>
      <c r="G79" s="157">
        <f t="shared" si="83"/>
        <v>0.16464957297375893</v>
      </c>
      <c r="H79" s="157">
        <f t="shared" si="83"/>
        <v>69.755721748286987</v>
      </c>
      <c r="I79" s="157">
        <f t="shared" si="83"/>
        <v>401.64969073429484</v>
      </c>
      <c r="J79" s="157">
        <f t="shared" si="83"/>
        <v>704.03906320498527</v>
      </c>
      <c r="K79" s="157">
        <f t="shared" si="83"/>
        <v>-34.697458668317608</v>
      </c>
      <c r="L79" s="157">
        <f t="shared" si="83"/>
        <v>105.5451556884089</v>
      </c>
      <c r="M79" s="157">
        <f t="shared" si="83"/>
        <v>-72.298048241110735</v>
      </c>
      <c r="N79" s="157">
        <f t="shared" si="84"/>
        <v>1.2628616809985873</v>
      </c>
    </row>
    <row r="80" spans="1:31" x14ac:dyDescent="0.15">
      <c r="A80" s="156" t="str">
        <f t="shared" si="85"/>
        <v>2025-05</v>
      </c>
      <c r="B80" s="157">
        <f t="shared" ref="B80:D80" si="92">B62-B$68</f>
        <v>11897.269060988829</v>
      </c>
      <c r="C80" s="157">
        <f t="shared" si="92"/>
        <v>-219.06311786678816</v>
      </c>
      <c r="D80" s="157">
        <f t="shared" si="92"/>
        <v>301.21044383987663</v>
      </c>
      <c r="E80" s="157"/>
      <c r="F80" s="157">
        <f t="shared" si="83"/>
        <v>2065.9954990550605</v>
      </c>
      <c r="G80" s="157">
        <f t="shared" si="83"/>
        <v>-2.0746186931037318</v>
      </c>
      <c r="H80" s="157">
        <f t="shared" si="83"/>
        <v>77.155046482453827</v>
      </c>
      <c r="I80" s="157">
        <f t="shared" si="83"/>
        <v>2191.9648249643483</v>
      </c>
      <c r="J80" s="157">
        <f t="shared" si="83"/>
        <v>-280.6429684394011</v>
      </c>
      <c r="K80" s="157">
        <f t="shared" si="83"/>
        <v>141.28656700898466</v>
      </c>
      <c r="L80" s="157">
        <f t="shared" si="83"/>
        <v>-47.335031363456523</v>
      </c>
      <c r="M80" s="157">
        <f t="shared" si="83"/>
        <v>11.542839095810166</v>
      </c>
      <c r="N80" s="157">
        <f t="shared" si="84"/>
        <v>1.0215370464217708</v>
      </c>
    </row>
    <row r="81" spans="1:14" x14ac:dyDescent="0.15">
      <c r="A81" s="156" t="str">
        <f t="shared" si="85"/>
        <v>2025-06</v>
      </c>
      <c r="B81" s="157">
        <f t="shared" ref="B81:D81" si="93">B63-B$68</f>
        <v>-1039.7786281014185</v>
      </c>
      <c r="C81" s="157">
        <f t="shared" si="93"/>
        <v>-1317.0612388357931</v>
      </c>
      <c r="D81" s="157">
        <f t="shared" si="93"/>
        <v>79.248336680902995</v>
      </c>
      <c r="E81" s="157"/>
      <c r="F81" s="157">
        <f t="shared" si="83"/>
        <v>336.86689655966575</v>
      </c>
      <c r="G81" s="157">
        <f t="shared" si="83"/>
        <v>1.9072129527648913</v>
      </c>
      <c r="H81" s="157">
        <f t="shared" si="83"/>
        <v>323.17776069167166</v>
      </c>
      <c r="I81" s="157">
        <f t="shared" si="83"/>
        <v>2150.7089636002152</v>
      </c>
      <c r="J81" s="157">
        <f t="shared" si="83"/>
        <v>-508.80821774718402</v>
      </c>
      <c r="K81" s="157">
        <f t="shared" si="83"/>
        <v>27.190537422617354</v>
      </c>
      <c r="L81" s="157">
        <f t="shared" si="83"/>
        <v>-129.48768620509782</v>
      </c>
      <c r="M81" s="157">
        <f t="shared" si="83"/>
        <v>130.47660881229945</v>
      </c>
      <c r="N81" s="157">
        <f t="shared" si="84"/>
        <v>0.72467824471523079</v>
      </c>
    </row>
    <row r="82" spans="1:14" x14ac:dyDescent="0.15">
      <c r="A82" s="156" t="str">
        <f t="shared" si="85"/>
        <v>2025-07</v>
      </c>
      <c r="B82" s="157">
        <f t="shared" ref="B82:D82" si="94">B64-B$68</f>
        <v>-1032.106471162652</v>
      </c>
      <c r="C82" s="157">
        <f t="shared" si="94"/>
        <v>788.53606036425208</v>
      </c>
      <c r="D82" s="157">
        <f t="shared" si="94"/>
        <v>47.260216354410815</v>
      </c>
      <c r="E82" s="157"/>
      <c r="F82" s="157">
        <f t="shared" si="83"/>
        <v>40.598652004106725</v>
      </c>
      <c r="G82" s="157">
        <f t="shared" si="83"/>
        <v>-0.63633707270218842</v>
      </c>
      <c r="H82" s="157">
        <f t="shared" si="83"/>
        <v>612.94168330788148</v>
      </c>
      <c r="I82" s="157">
        <f t="shared" si="83"/>
        <v>2390.2848669216578</v>
      </c>
      <c r="J82" s="157">
        <f t="shared" si="83"/>
        <v>1371.1435831910603</v>
      </c>
      <c r="K82" s="157">
        <f t="shared" si="83"/>
        <v>34.896256581236457</v>
      </c>
      <c r="L82" s="157">
        <f t="shared" si="83"/>
        <v>-5.283401428328375</v>
      </c>
      <c r="M82" s="157">
        <f t="shared" si="83"/>
        <v>-43.557670331392956</v>
      </c>
      <c r="N82" s="157">
        <f t="shared" si="84"/>
        <v>1.1454237699887826</v>
      </c>
    </row>
    <row r="83" spans="1:14" x14ac:dyDescent="0.15">
      <c r="A83" s="156" t="str">
        <f t="shared" si="85"/>
        <v>2025-08</v>
      </c>
      <c r="B83" s="157">
        <f t="shared" ref="B83:D83" si="95">B65-B$68</f>
        <v>-1146.2421389659462</v>
      </c>
      <c r="C83" s="157">
        <f t="shared" si="95"/>
        <v>636.27308382811498</v>
      </c>
      <c r="D83" s="157">
        <f t="shared" si="95"/>
        <v>-82.713309374655296</v>
      </c>
      <c r="E83" s="157"/>
      <c r="F83" s="157">
        <f t="shared" si="83"/>
        <v>-229.08750083321843</v>
      </c>
      <c r="G83" s="157">
        <f t="shared" si="83"/>
        <v>-2.2731301978183214</v>
      </c>
      <c r="H83" s="157">
        <f t="shared" si="83"/>
        <v>573.5277782321657</v>
      </c>
      <c r="I83" s="157">
        <f t="shared" si="83"/>
        <v>1042.0672729158027</v>
      </c>
      <c r="J83" s="157">
        <f t="shared" si="83"/>
        <v>5.2659334146364927</v>
      </c>
      <c r="K83" s="157">
        <f t="shared" si="83"/>
        <v>-36.624088056212713</v>
      </c>
      <c r="L83" s="157">
        <f t="shared" si="83"/>
        <v>25.539147719557576</v>
      </c>
      <c r="M83" s="157">
        <f t="shared" si="83"/>
        <v>-103.49238324664782</v>
      </c>
      <c r="N83" s="157">
        <f t="shared" si="84"/>
        <v>0.17150691903561655</v>
      </c>
    </row>
    <row r="84" spans="1:14" x14ac:dyDescent="0.15">
      <c r="A84" s="156" t="str">
        <f t="shared" si="85"/>
        <v>2025-09</v>
      </c>
      <c r="B84" s="157">
        <f t="shared" ref="B84:D84" si="96">B66-B$68</f>
        <v>-1112.8231764641107</v>
      </c>
      <c r="C84" s="157">
        <f t="shared" si="96"/>
        <v>8453.6639912674727</v>
      </c>
      <c r="D84" s="157">
        <f t="shared" si="96"/>
        <v>-82.483634526875107</v>
      </c>
      <c r="E84" s="157"/>
      <c r="F84" s="157">
        <f t="shared" si="83"/>
        <v>-206.00398002745328</v>
      </c>
      <c r="G84" s="157">
        <f t="shared" si="83"/>
        <v>0.95430316996408138</v>
      </c>
      <c r="H84" s="157">
        <f t="shared" si="83"/>
        <v>678.79598925171263</v>
      </c>
      <c r="I84" s="157">
        <f t="shared" si="83"/>
        <v>-993.412038518381</v>
      </c>
      <c r="J84" s="157">
        <f t="shared" si="83"/>
        <v>1491.0385244199024</v>
      </c>
      <c r="K84" s="157">
        <f t="shared" si="83"/>
        <v>-24.372853411880726</v>
      </c>
      <c r="L84" s="157">
        <f t="shared" si="83"/>
        <v>-86.997980203935896</v>
      </c>
      <c r="M84" s="157">
        <f t="shared" si="83"/>
        <v>8.6936269696100226</v>
      </c>
      <c r="N84" s="157">
        <f t="shared" si="84"/>
        <v>-2.7340741255376819E-2</v>
      </c>
    </row>
    <row r="85" spans="1:14" x14ac:dyDescent="0.15">
      <c r="A85" s="120" t="s">
        <v>11</v>
      </c>
      <c r="B85" s="158">
        <f>SUM(B73:B84)</f>
        <v>0</v>
      </c>
      <c r="C85" s="158">
        <f t="shared" ref="C85:N85" si="97">SUM(C73:C84)</f>
        <v>0</v>
      </c>
      <c r="D85" s="158">
        <f t="shared" si="97"/>
        <v>1.1368683772161603E-13</v>
      </c>
      <c r="E85" s="158"/>
      <c r="F85" s="158">
        <f t="shared" si="97"/>
        <v>-4.5474735088646412E-13</v>
      </c>
      <c r="G85" s="158">
        <f t="shared" si="97"/>
        <v>-3.1086244689504383E-15</v>
      </c>
      <c r="H85" s="158">
        <f t="shared" si="97"/>
        <v>5.2295945351943374E-12</v>
      </c>
      <c r="I85" s="158">
        <f t="shared" si="97"/>
        <v>1.8189894035458565E-12</v>
      </c>
      <c r="J85" s="158">
        <f t="shared" si="97"/>
        <v>-2.7284841053187847E-12</v>
      </c>
      <c r="K85" s="158">
        <f t="shared" si="97"/>
        <v>1.7053025658242404E-13</v>
      </c>
      <c r="L85" s="158">
        <f t="shared" si="97"/>
        <v>-2.5579538487363607E-13</v>
      </c>
      <c r="M85" s="158">
        <f t="shared" si="97"/>
        <v>-3.4106051316484809E-13</v>
      </c>
      <c r="N85" s="158">
        <f t="shared" si="97"/>
        <v>26.112865322416212</v>
      </c>
    </row>
    <row r="86" spans="1:14" x14ac:dyDescent="0.15">
      <c r="B86" s="18"/>
      <c r="C86" s="18"/>
      <c r="D86" s="18"/>
      <c r="E86" s="18"/>
      <c r="F86" s="18"/>
      <c r="G86" s="18"/>
      <c r="H86" s="18"/>
      <c r="I86" s="18"/>
      <c r="J86" s="18"/>
      <c r="K86" s="18"/>
      <c r="L86" s="18"/>
      <c r="M86" s="18"/>
      <c r="N86" s="18"/>
    </row>
    <row r="87" spans="1:14" x14ac:dyDescent="0.15">
      <c r="B87" s="378" t="s">
        <v>31</v>
      </c>
      <c r="C87" s="379"/>
      <c r="D87" s="379"/>
      <c r="E87" s="379"/>
      <c r="F87" s="379"/>
      <c r="G87" s="379"/>
      <c r="H87" s="379"/>
      <c r="I87" s="379"/>
      <c r="J87" s="379"/>
      <c r="K87" s="379"/>
      <c r="L87" s="379"/>
      <c r="M87" s="379"/>
    </row>
    <row r="88" spans="1:14" ht="28" x14ac:dyDescent="0.15">
      <c r="A88" s="120" t="s">
        <v>16</v>
      </c>
      <c r="B88" s="121" t="s">
        <v>3</v>
      </c>
      <c r="C88" s="121" t="s">
        <v>4</v>
      </c>
      <c r="D88" s="121" t="s">
        <v>5</v>
      </c>
      <c r="E88" s="121" t="s">
        <v>161</v>
      </c>
      <c r="F88" s="121" t="s">
        <v>6</v>
      </c>
      <c r="G88" s="121" t="s">
        <v>7</v>
      </c>
      <c r="H88" s="122" t="s">
        <v>14</v>
      </c>
      <c r="I88" s="123" t="s">
        <v>114</v>
      </c>
      <c r="J88" s="122" t="s">
        <v>8</v>
      </c>
      <c r="K88" s="122" t="s">
        <v>17</v>
      </c>
      <c r="L88" s="122" t="s">
        <v>9</v>
      </c>
      <c r="M88" s="122" t="s">
        <v>12</v>
      </c>
      <c r="N88" s="122" t="s">
        <v>10</v>
      </c>
    </row>
    <row r="89" spans="1:14" x14ac:dyDescent="0.15">
      <c r="A89" s="156" t="str">
        <f>A73</f>
        <v>2024-10</v>
      </c>
      <c r="B89" s="157"/>
      <c r="C89" s="157"/>
      <c r="D89" s="157"/>
      <c r="E89" s="157"/>
      <c r="F89" s="157"/>
      <c r="G89" s="157"/>
      <c r="H89" s="157"/>
      <c r="I89" s="157"/>
      <c r="J89" s="157"/>
      <c r="K89" s="157"/>
      <c r="L89" s="157"/>
      <c r="M89" s="157"/>
      <c r="N89" s="157"/>
    </row>
    <row r="90" spans="1:14" x14ac:dyDescent="0.15">
      <c r="A90" s="156" t="str">
        <f t="shared" ref="A90:A100" si="98">A74</f>
        <v>2024-11</v>
      </c>
      <c r="B90" s="157">
        <f>B56-B55</f>
        <v>-27.040432088379134</v>
      </c>
      <c r="C90" s="157">
        <f t="shared" ref="C90:D90" si="99">C56-C55</f>
        <v>-789.06339688649496</v>
      </c>
      <c r="D90" s="157">
        <f t="shared" si="99"/>
        <v>-3.4238099443545877</v>
      </c>
      <c r="E90" s="157"/>
      <c r="F90" s="157">
        <f t="shared" ref="F90:N90" si="100">F56-F55</f>
        <v>-34.176132824269871</v>
      </c>
      <c r="G90" s="157">
        <f t="shared" si="100"/>
        <v>-2.1502153379469724</v>
      </c>
      <c r="H90" s="157">
        <f t="shared" si="100"/>
        <v>-423.42241787399803</v>
      </c>
      <c r="I90" s="157">
        <f t="shared" si="100"/>
        <v>-299.7489513950029</v>
      </c>
      <c r="J90" s="157">
        <f t="shared" si="100"/>
        <v>-129.58900746963661</v>
      </c>
      <c r="K90" s="157">
        <f t="shared" si="100"/>
        <v>58.388460130940047</v>
      </c>
      <c r="L90" s="157">
        <f t="shared" si="100"/>
        <v>-46.516133064844837</v>
      </c>
      <c r="M90" s="157">
        <f t="shared" si="100"/>
        <v>63.65499147137109</v>
      </c>
      <c r="N90" s="157">
        <f t="shared" si="100"/>
        <v>-2.6662684450411716</v>
      </c>
    </row>
    <row r="91" spans="1:14" x14ac:dyDescent="0.15">
      <c r="A91" s="156" t="str">
        <f t="shared" si="98"/>
        <v>2024-12</v>
      </c>
      <c r="B91" s="157">
        <f t="shared" ref="B91:D91" si="101">B57-B56</f>
        <v>-131.54443934321978</v>
      </c>
      <c r="C91" s="157">
        <f t="shared" si="101"/>
        <v>349.61976356475498</v>
      </c>
      <c r="D91" s="157">
        <f t="shared" si="101"/>
        <v>5.5316657964904294</v>
      </c>
      <c r="E91" s="157"/>
      <c r="F91" s="157">
        <f t="shared" ref="F91:N91" si="102">F57-F56</f>
        <v>9.8752664022150611</v>
      </c>
      <c r="G91" s="157">
        <f t="shared" si="102"/>
        <v>0.89260180291875946</v>
      </c>
      <c r="H91" s="157">
        <f t="shared" si="102"/>
        <v>102.98509178378026</v>
      </c>
      <c r="I91" s="157">
        <f t="shared" si="102"/>
        <v>11.61034380450883</v>
      </c>
      <c r="J91" s="157">
        <f t="shared" si="102"/>
        <v>-43.504118066957062</v>
      </c>
      <c r="K91" s="157">
        <f t="shared" si="102"/>
        <v>81.089691647694679</v>
      </c>
      <c r="L91" s="157">
        <f t="shared" si="102"/>
        <v>-63.170390647259467</v>
      </c>
      <c r="M91" s="157">
        <f t="shared" si="102"/>
        <v>182.5831118861455</v>
      </c>
      <c r="N91" s="157">
        <f t="shared" si="102"/>
        <v>-0.99788615169199424</v>
      </c>
    </row>
    <row r="92" spans="1:14" x14ac:dyDescent="0.15">
      <c r="A92" s="156" t="str">
        <f t="shared" si="98"/>
        <v>2025-01</v>
      </c>
      <c r="B92" s="157">
        <f t="shared" ref="B92:D92" si="103">B58-B57</f>
        <v>18.40039154663873</v>
      </c>
      <c r="C92" s="157">
        <f t="shared" si="103"/>
        <v>101.03163821753424</v>
      </c>
      <c r="D92" s="157">
        <f t="shared" si="103"/>
        <v>3.4964830870957968</v>
      </c>
      <c r="E92" s="157"/>
      <c r="F92" s="157">
        <f t="shared" ref="F92:N92" si="104">F58-F57</f>
        <v>102.31170384354493</v>
      </c>
      <c r="G92" s="157">
        <f t="shared" si="104"/>
        <v>2.126675705538223</v>
      </c>
      <c r="H92" s="157">
        <f t="shared" si="104"/>
        <v>-110.07131409341991</v>
      </c>
      <c r="I92" s="157">
        <f t="shared" si="104"/>
        <v>-14.038068027120062</v>
      </c>
      <c r="J92" s="157">
        <f t="shared" si="104"/>
        <v>-137.86568853930856</v>
      </c>
      <c r="K92" s="157">
        <f t="shared" si="104"/>
        <v>-81.298819220476702</v>
      </c>
      <c r="L92" s="157">
        <f t="shared" si="104"/>
        <v>56.596398229373847</v>
      </c>
      <c r="M92" s="157">
        <f t="shared" si="104"/>
        <v>-179.12911949635935</v>
      </c>
      <c r="N92" s="157">
        <f t="shared" si="104"/>
        <v>1.7465871845570233</v>
      </c>
    </row>
    <row r="93" spans="1:14" x14ac:dyDescent="0.15">
      <c r="A93" s="156" t="str">
        <f t="shared" si="98"/>
        <v>2025-02</v>
      </c>
      <c r="B93" s="157">
        <f t="shared" ref="B93:D93" si="105">B59-B58</f>
        <v>24.968070908636264</v>
      </c>
      <c r="C93" s="157">
        <f t="shared" si="105"/>
        <v>755.42352786448737</v>
      </c>
      <c r="D93" s="157">
        <f t="shared" si="105"/>
        <v>-5.8635532451689443</v>
      </c>
      <c r="E93" s="157"/>
      <c r="F93" s="157">
        <f t="shared" ref="F93:N93" si="106">F59-F58</f>
        <v>-45.105031005996807</v>
      </c>
      <c r="G93" s="157">
        <f t="shared" si="106"/>
        <v>-3.3411803285416699</v>
      </c>
      <c r="H93" s="157">
        <f t="shared" si="106"/>
        <v>611.16627511577553</v>
      </c>
      <c r="I93" s="157">
        <f t="shared" si="106"/>
        <v>-5.0536386536437021</v>
      </c>
      <c r="J93" s="157">
        <f t="shared" si="106"/>
        <v>3037.1663366656835</v>
      </c>
      <c r="K93" s="157">
        <f t="shared" si="106"/>
        <v>107.58818440105242</v>
      </c>
      <c r="L93" s="157">
        <f t="shared" si="106"/>
        <v>20.595964648460722</v>
      </c>
      <c r="M93" s="157">
        <f t="shared" si="106"/>
        <v>-37.701272621671876</v>
      </c>
      <c r="N93" s="157">
        <f t="shared" si="106"/>
        <v>0.62632478682372072</v>
      </c>
    </row>
    <row r="94" spans="1:14" x14ac:dyDescent="0.15">
      <c r="A94" s="156" t="str">
        <f t="shared" si="98"/>
        <v>2025-03</v>
      </c>
      <c r="B94" s="157">
        <f t="shared" ref="B94:D94" si="107">B60-B59</f>
        <v>-29.714666128217573</v>
      </c>
      <c r="C94" s="157">
        <f t="shared" si="107"/>
        <v>1033.0865138332629</v>
      </c>
      <c r="D94" s="157">
        <f t="shared" si="107"/>
        <v>78.81559143280586</v>
      </c>
      <c r="E94" s="157"/>
      <c r="F94" s="157">
        <f t="shared" ref="F94:N94" si="108">F60-F59</f>
        <v>438.98962968727528</v>
      </c>
      <c r="G94" s="157">
        <f t="shared" si="108"/>
        <v>0.66163349802354476</v>
      </c>
      <c r="H94" s="157">
        <f t="shared" si="108"/>
        <v>-292.52571120751372</v>
      </c>
      <c r="I94" s="157">
        <f t="shared" si="108"/>
        <v>2552.4983320244542</v>
      </c>
      <c r="J94" s="157">
        <f t="shared" si="108"/>
        <v>-2379.1598856594564</v>
      </c>
      <c r="K94" s="157">
        <f t="shared" si="108"/>
        <v>-22.178803292293708</v>
      </c>
      <c r="L94" s="157">
        <f t="shared" si="108"/>
        <v>394.86700474529317</v>
      </c>
      <c r="M94" s="157">
        <f t="shared" si="108"/>
        <v>-19.710214141509766</v>
      </c>
      <c r="N94" s="157">
        <f t="shared" si="108"/>
        <v>8.7324350336111607</v>
      </c>
    </row>
    <row r="95" spans="1:14" x14ac:dyDescent="0.15">
      <c r="A95" s="156" t="str">
        <f t="shared" si="98"/>
        <v>2025-04</v>
      </c>
      <c r="B95" s="157">
        <f t="shared" ref="B95:D95" si="109">B61-B60</f>
        <v>55.120956032433241</v>
      </c>
      <c r="C95" s="157">
        <f t="shared" si="109"/>
        <v>-1455.5937103770266</v>
      </c>
      <c r="D95" s="157">
        <f t="shared" si="109"/>
        <v>205.10824322980955</v>
      </c>
      <c r="E95" s="157"/>
      <c r="F95" s="157">
        <f t="shared" ref="F95:N95" si="110">F61-F60</f>
        <v>162.55995647610689</v>
      </c>
      <c r="G95" s="157">
        <f t="shared" si="110"/>
        <v>0.51191926824413114</v>
      </c>
      <c r="H95" s="157">
        <f t="shared" si="110"/>
        <v>386.5863237275089</v>
      </c>
      <c r="I95" s="157">
        <f t="shared" si="110"/>
        <v>-471.74548543610763</v>
      </c>
      <c r="J95" s="157">
        <f t="shared" si="110"/>
        <v>1230.5997813549898</v>
      </c>
      <c r="K95" s="157">
        <f t="shared" si="110"/>
        <v>-66.105983006853137</v>
      </c>
      <c r="L95" s="157">
        <f t="shared" si="110"/>
        <v>-259.73333738524417</v>
      </c>
      <c r="M95" s="157">
        <f t="shared" si="110"/>
        <v>-24.083501991407275</v>
      </c>
      <c r="N95" s="157">
        <f t="shared" si="110"/>
        <v>-10.163703906186113</v>
      </c>
    </row>
    <row r="96" spans="1:14" x14ac:dyDescent="0.15">
      <c r="A96" s="156" t="str">
        <f t="shared" si="98"/>
        <v>2025-05</v>
      </c>
      <c r="B96" s="157">
        <f t="shared" ref="B96:D96" si="111">B62-B61</f>
        <v>12971.443645737621</v>
      </c>
      <c r="C96" s="157">
        <f t="shared" si="111"/>
        <v>1020.2959272045746</v>
      </c>
      <c r="D96" s="157">
        <f t="shared" si="111"/>
        <v>107.37042648295312</v>
      </c>
      <c r="E96" s="157"/>
      <c r="F96" s="157">
        <f t="shared" ref="F96:N96" si="112">F62-F61</f>
        <v>1883.9915407662515</v>
      </c>
      <c r="G96" s="157">
        <f t="shared" si="112"/>
        <v>-2.2392682660774907</v>
      </c>
      <c r="H96" s="157">
        <f t="shared" si="112"/>
        <v>7.3993247341668393</v>
      </c>
      <c r="I96" s="157">
        <f t="shared" si="112"/>
        <v>1790.3151342300534</v>
      </c>
      <c r="J96" s="157">
        <f t="shared" si="112"/>
        <v>-984.68203164438637</v>
      </c>
      <c r="K96" s="157">
        <f t="shared" si="112"/>
        <v>175.98402567730227</v>
      </c>
      <c r="L96" s="157">
        <f t="shared" si="112"/>
        <v>-152.88018705186542</v>
      </c>
      <c r="M96" s="157">
        <f t="shared" si="112"/>
        <v>83.8408873369209</v>
      </c>
      <c r="N96" s="157">
        <f t="shared" si="112"/>
        <v>-0.24132463457681652</v>
      </c>
    </row>
    <row r="97" spans="1:31" x14ac:dyDescent="0.15">
      <c r="A97" s="156" t="str">
        <f t="shared" si="98"/>
        <v>2025-06</v>
      </c>
      <c r="B97" s="157">
        <f t="shared" ref="B97:D97" si="113">B63-B62</f>
        <v>-12937.047689090246</v>
      </c>
      <c r="C97" s="157">
        <f t="shared" si="113"/>
        <v>-1097.998120969005</v>
      </c>
      <c r="D97" s="157">
        <f t="shared" si="113"/>
        <v>-221.96210715897362</v>
      </c>
      <c r="E97" s="157"/>
      <c r="F97" s="157">
        <f t="shared" ref="F97:N97" si="114">F63-F62</f>
        <v>-1729.1286024953949</v>
      </c>
      <c r="G97" s="157">
        <f t="shared" si="114"/>
        <v>3.9818316458686231</v>
      </c>
      <c r="H97" s="157">
        <f t="shared" si="114"/>
        <v>246.02271420921784</v>
      </c>
      <c r="I97" s="157">
        <f t="shared" si="114"/>
        <v>-41.255861364133125</v>
      </c>
      <c r="J97" s="157">
        <f t="shared" si="114"/>
        <v>-228.16524930778291</v>
      </c>
      <c r="K97" s="157">
        <f t="shared" si="114"/>
        <v>-114.09602958636731</v>
      </c>
      <c r="L97" s="157">
        <f t="shared" si="114"/>
        <v>-82.152654841641294</v>
      </c>
      <c r="M97" s="157">
        <f t="shared" si="114"/>
        <v>118.93376971648928</v>
      </c>
      <c r="N97" s="157">
        <f t="shared" si="114"/>
        <v>-0.29685880170654</v>
      </c>
    </row>
    <row r="98" spans="1:31" x14ac:dyDescent="0.15">
      <c r="A98" s="156" t="str">
        <f t="shared" si="98"/>
        <v>2025-07</v>
      </c>
      <c r="B98" s="157">
        <f t="shared" ref="B98:D98" si="115">B64-B63</f>
        <v>7.6721569387664204</v>
      </c>
      <c r="C98" s="157">
        <f t="shared" si="115"/>
        <v>2105.5972992000452</v>
      </c>
      <c r="D98" s="157">
        <f t="shared" si="115"/>
        <v>-31.988120326492179</v>
      </c>
      <c r="E98" s="157"/>
      <c r="F98" s="157">
        <f t="shared" ref="F98:N98" si="116">F64-F63</f>
        <v>-296.26824455555902</v>
      </c>
      <c r="G98" s="157">
        <f t="shared" si="116"/>
        <v>-2.5435500254670798</v>
      </c>
      <c r="H98" s="157">
        <f t="shared" si="116"/>
        <v>289.76392261620981</v>
      </c>
      <c r="I98" s="157">
        <f t="shared" si="116"/>
        <v>239.57590332144264</v>
      </c>
      <c r="J98" s="157">
        <f t="shared" si="116"/>
        <v>1879.9518009382443</v>
      </c>
      <c r="K98" s="157">
        <f t="shared" si="116"/>
        <v>7.7057191586191038</v>
      </c>
      <c r="L98" s="157">
        <f t="shared" si="116"/>
        <v>124.20428477676944</v>
      </c>
      <c r="M98" s="157">
        <f t="shared" si="116"/>
        <v>-174.0342791436924</v>
      </c>
      <c r="N98" s="157">
        <f t="shared" si="116"/>
        <v>0.4207455252735518</v>
      </c>
    </row>
    <row r="99" spans="1:31" x14ac:dyDescent="0.15">
      <c r="A99" s="156" t="str">
        <f t="shared" si="98"/>
        <v>2025-08</v>
      </c>
      <c r="B99" s="157">
        <f t="shared" ref="B99:D99" si="117">B65-B64</f>
        <v>-114.13566780329415</v>
      </c>
      <c r="C99" s="157">
        <f t="shared" si="117"/>
        <v>-152.2629765361371</v>
      </c>
      <c r="D99" s="157">
        <f t="shared" si="117"/>
        <v>-129.97352572906613</v>
      </c>
      <c r="E99" s="157"/>
      <c r="F99" s="157">
        <f t="shared" ref="F99:N99" si="118">F65-F64</f>
        <v>-269.68615283732515</v>
      </c>
      <c r="G99" s="157">
        <f t="shared" si="118"/>
        <v>-1.636793125116133</v>
      </c>
      <c r="H99" s="157">
        <f t="shared" si="118"/>
        <v>-39.413905075715775</v>
      </c>
      <c r="I99" s="157">
        <f t="shared" si="118"/>
        <v>-1348.2175940058551</v>
      </c>
      <c r="J99" s="157">
        <f t="shared" si="118"/>
        <v>-1365.8776497764238</v>
      </c>
      <c r="K99" s="157">
        <f t="shared" si="118"/>
        <v>-71.52034463744917</v>
      </c>
      <c r="L99" s="157">
        <f t="shared" si="118"/>
        <v>30.822549147885951</v>
      </c>
      <c r="M99" s="157">
        <f t="shared" si="118"/>
        <v>-59.934712915254863</v>
      </c>
      <c r="N99" s="157">
        <f t="shared" si="118"/>
        <v>-0.97391685095316594</v>
      </c>
    </row>
    <row r="100" spans="1:31" x14ac:dyDescent="0.15">
      <c r="A100" s="156" t="str">
        <f t="shared" si="98"/>
        <v>2025-09</v>
      </c>
      <c r="B100" s="157">
        <f t="shared" ref="B100:D100" si="119">B66-B65</f>
        <v>33.418962501835495</v>
      </c>
      <c r="C100" s="157">
        <f t="shared" si="119"/>
        <v>7817.3909074393587</v>
      </c>
      <c r="D100" s="157">
        <f t="shared" si="119"/>
        <v>0.22967484778018132</v>
      </c>
      <c r="E100" s="157"/>
      <c r="F100" s="157">
        <f t="shared" ref="F100:N100" si="120">F66-F65</f>
        <v>23.083520805765147</v>
      </c>
      <c r="G100" s="157">
        <f t="shared" si="120"/>
        <v>3.2274333677824028</v>
      </c>
      <c r="H100" s="157">
        <f t="shared" si="120"/>
        <v>105.26821101954692</v>
      </c>
      <c r="I100" s="157">
        <f t="shared" si="120"/>
        <v>-2035.4793114341837</v>
      </c>
      <c r="J100" s="157">
        <f t="shared" si="120"/>
        <v>1485.7725910052659</v>
      </c>
      <c r="K100" s="157">
        <f t="shared" si="120"/>
        <v>12.251234644331987</v>
      </c>
      <c r="L100" s="157">
        <f t="shared" si="120"/>
        <v>-112.53712792349347</v>
      </c>
      <c r="M100" s="157">
        <f t="shared" si="120"/>
        <v>112.18601021625784</v>
      </c>
      <c r="N100" s="157">
        <f t="shared" si="120"/>
        <v>-0.19884766029099338</v>
      </c>
    </row>
    <row r="102" spans="1:31" ht="16" customHeight="1" x14ac:dyDescent="0.15">
      <c r="Q102" s="32" t="s">
        <v>160</v>
      </c>
      <c r="S102" s="312" t="s">
        <v>215</v>
      </c>
      <c r="T102" s="313" t="s">
        <v>216</v>
      </c>
    </row>
    <row r="104" spans="1:31" x14ac:dyDescent="0.15">
      <c r="A104" s="19" t="s">
        <v>35</v>
      </c>
      <c r="Q104" s="32" t="s">
        <v>148</v>
      </c>
    </row>
    <row r="105" spans="1:31" ht="28" x14ac:dyDescent="0.15">
      <c r="A105" s="108" t="s">
        <v>18</v>
      </c>
      <c r="B105" s="106" t="s">
        <v>3</v>
      </c>
      <c r="C105" s="106" t="s">
        <v>4</v>
      </c>
      <c r="D105" s="106" t="s">
        <v>5</v>
      </c>
      <c r="E105" s="121" t="s">
        <v>161</v>
      </c>
      <c r="F105" s="106" t="s">
        <v>6</v>
      </c>
      <c r="G105" s="106" t="s">
        <v>7</v>
      </c>
      <c r="H105" s="101" t="s">
        <v>14</v>
      </c>
      <c r="I105" s="107" t="s">
        <v>114</v>
      </c>
      <c r="J105" s="101" t="s">
        <v>8</v>
      </c>
      <c r="K105" s="101" t="s">
        <v>17</v>
      </c>
      <c r="L105" s="101" t="s">
        <v>9</v>
      </c>
      <c r="M105" s="101" t="s">
        <v>12</v>
      </c>
      <c r="N105" s="101" t="s">
        <v>10</v>
      </c>
      <c r="O105" s="101" t="s">
        <v>11</v>
      </c>
      <c r="Q105" s="193" t="s">
        <v>18</v>
      </c>
      <c r="R105" s="192" t="s">
        <v>3</v>
      </c>
      <c r="S105" s="192" t="s">
        <v>182</v>
      </c>
      <c r="T105" s="193" t="s">
        <v>5</v>
      </c>
      <c r="U105" s="191" t="s">
        <v>161</v>
      </c>
      <c r="V105" s="191" t="s">
        <v>6</v>
      </c>
      <c r="W105" s="191" t="s">
        <v>183</v>
      </c>
      <c r="X105" s="191" t="s">
        <v>114</v>
      </c>
      <c r="Y105" s="191" t="s">
        <v>14</v>
      </c>
      <c r="Z105" s="191" t="s">
        <v>184</v>
      </c>
      <c r="AA105" s="191" t="s">
        <v>17</v>
      </c>
      <c r="AB105" s="191" t="s">
        <v>185</v>
      </c>
      <c r="AC105" s="191" t="s">
        <v>12</v>
      </c>
      <c r="AD105" s="191" t="s">
        <v>10</v>
      </c>
      <c r="AE105" s="191" t="s">
        <v>11</v>
      </c>
    </row>
    <row r="106" spans="1:31" x14ac:dyDescent="0.15">
      <c r="A106" s="101" t="str">
        <f t="shared" ref="A106:A118" si="121">Q106</f>
        <v>2024-10</v>
      </c>
      <c r="B106" s="109">
        <f>R106</f>
        <v>935</v>
      </c>
      <c r="C106" s="109">
        <f>S106</f>
        <v>44868</v>
      </c>
      <c r="D106" s="109">
        <f>T106</f>
        <v>18604</v>
      </c>
      <c r="E106" s="137">
        <f>U106</f>
        <v>53</v>
      </c>
      <c r="F106" s="137">
        <f t="shared" ref="F106:G106" si="122">V106</f>
        <v>21245</v>
      </c>
      <c r="G106" s="137">
        <f t="shared" si="122"/>
        <v>321</v>
      </c>
      <c r="H106" s="109">
        <f>Y106</f>
        <v>27954</v>
      </c>
      <c r="I106" s="109">
        <f>X106</f>
        <v>7335</v>
      </c>
      <c r="J106" s="109">
        <f>Z106</f>
        <v>3841</v>
      </c>
      <c r="K106" s="109">
        <f>AA106</f>
        <v>2962</v>
      </c>
      <c r="L106" s="109">
        <f t="shared" ref="L106:N106" si="123">AB106</f>
        <v>117708</v>
      </c>
      <c r="M106" s="109">
        <f t="shared" si="123"/>
        <v>2883</v>
      </c>
      <c r="N106" s="109">
        <f t="shared" si="123"/>
        <v>13434</v>
      </c>
      <c r="O106" s="109">
        <f t="shared" ref="O106:O118" si="124">SUM(B106:N106)</f>
        <v>262143</v>
      </c>
      <c r="Q106" s="61" t="str">
        <f t="shared" ref="Q106:Q117" si="125">Q55</f>
        <v>2024-10</v>
      </c>
      <c r="R106" s="284">
        <v>935</v>
      </c>
      <c r="S106" s="284">
        <v>44868</v>
      </c>
      <c r="T106" s="284">
        <v>18604</v>
      </c>
      <c r="U106" s="284">
        <v>53</v>
      </c>
      <c r="V106" s="284">
        <v>21245</v>
      </c>
      <c r="W106" s="284">
        <v>321</v>
      </c>
      <c r="X106" s="284">
        <v>7335</v>
      </c>
      <c r="Y106" s="284">
        <v>27954</v>
      </c>
      <c r="Z106" s="284">
        <v>3841</v>
      </c>
      <c r="AA106" s="284">
        <v>2962</v>
      </c>
      <c r="AB106" s="284">
        <v>117708</v>
      </c>
      <c r="AC106" s="284">
        <v>2883</v>
      </c>
      <c r="AD106" s="284">
        <v>13434</v>
      </c>
      <c r="AE106" s="190">
        <f t="shared" ref="AE106:AE117" si="126">SUM(R106:AD106)</f>
        <v>262143</v>
      </c>
    </row>
    <row r="107" spans="1:31" x14ac:dyDescent="0.15">
      <c r="A107" s="101" t="str">
        <f t="shared" si="121"/>
        <v>2024-11</v>
      </c>
      <c r="B107" s="109">
        <f t="shared" ref="B107:B117" si="127">R107</f>
        <v>883</v>
      </c>
      <c r="C107" s="109">
        <f t="shared" ref="C107:C117" si="128">S107</f>
        <v>49616</v>
      </c>
      <c r="D107" s="109">
        <f t="shared" ref="D107:D117" si="129">T107</f>
        <v>18701</v>
      </c>
      <c r="E107" s="137">
        <f t="shared" ref="E107:E117" si="130">U107</f>
        <v>45</v>
      </c>
      <c r="F107" s="137">
        <f t="shared" ref="F107:F117" si="131">V107</f>
        <v>28390</v>
      </c>
      <c r="G107" s="137">
        <f t="shared" ref="G107:G117" si="132">W107</f>
        <v>270</v>
      </c>
      <c r="H107" s="109">
        <f t="shared" ref="H107:H117" si="133">Y107</f>
        <v>27041</v>
      </c>
      <c r="I107" s="109">
        <f t="shared" ref="I107:I117" si="134">X107</f>
        <v>6871</v>
      </c>
      <c r="J107" s="109">
        <f t="shared" ref="J107:J117" si="135">Z107</f>
        <v>3773</v>
      </c>
      <c r="K107" s="109">
        <f t="shared" ref="K107:K117" si="136">AA107</f>
        <v>2862</v>
      </c>
      <c r="L107" s="109">
        <f t="shared" ref="L107:L117" si="137">AB107</f>
        <v>23853</v>
      </c>
      <c r="M107" s="109">
        <f t="shared" ref="M107:M117" si="138">AC107</f>
        <v>2567</v>
      </c>
      <c r="N107" s="109">
        <f t="shared" ref="N107:N117" si="139">AD107</f>
        <v>9742</v>
      </c>
      <c r="O107" s="109">
        <f t="shared" si="124"/>
        <v>174614</v>
      </c>
      <c r="Q107" s="61" t="str">
        <f t="shared" si="125"/>
        <v>2024-11</v>
      </c>
      <c r="R107" s="284">
        <v>883</v>
      </c>
      <c r="S107" s="284">
        <v>49616</v>
      </c>
      <c r="T107" s="284">
        <v>18701</v>
      </c>
      <c r="U107" s="284">
        <v>45</v>
      </c>
      <c r="V107" s="284">
        <v>28390</v>
      </c>
      <c r="W107" s="284">
        <v>270</v>
      </c>
      <c r="X107" s="284">
        <v>6871</v>
      </c>
      <c r="Y107" s="284">
        <v>27041</v>
      </c>
      <c r="Z107" s="284">
        <v>3773</v>
      </c>
      <c r="AA107" s="284">
        <v>2862</v>
      </c>
      <c r="AB107" s="284">
        <v>23853</v>
      </c>
      <c r="AC107" s="284">
        <v>2567</v>
      </c>
      <c r="AD107" s="284">
        <v>9742</v>
      </c>
      <c r="AE107" s="190">
        <f t="shared" si="126"/>
        <v>174614</v>
      </c>
    </row>
    <row r="108" spans="1:31" x14ac:dyDescent="0.15">
      <c r="A108" s="101" t="str">
        <f t="shared" si="121"/>
        <v>2024-12</v>
      </c>
      <c r="B108" s="109">
        <f t="shared" si="127"/>
        <v>856</v>
      </c>
      <c r="C108" s="109">
        <f t="shared" si="128"/>
        <v>40424</v>
      </c>
      <c r="D108" s="109">
        <f t="shared" si="129"/>
        <v>17857</v>
      </c>
      <c r="E108" s="137">
        <f t="shared" si="130"/>
        <v>48</v>
      </c>
      <c r="F108" s="137">
        <f t="shared" si="131"/>
        <v>64786</v>
      </c>
      <c r="G108" s="137">
        <f t="shared" si="132"/>
        <v>237</v>
      </c>
      <c r="H108" s="109">
        <f t="shared" si="133"/>
        <v>23988</v>
      </c>
      <c r="I108" s="109">
        <f t="shared" si="134"/>
        <v>7730</v>
      </c>
      <c r="J108" s="109">
        <f t="shared" si="135"/>
        <v>4087</v>
      </c>
      <c r="K108" s="109">
        <f t="shared" si="136"/>
        <v>2196</v>
      </c>
      <c r="L108" s="109">
        <f t="shared" si="137"/>
        <v>6402</v>
      </c>
      <c r="M108" s="109">
        <f t="shared" si="138"/>
        <v>2230</v>
      </c>
      <c r="N108" s="109">
        <f t="shared" si="139"/>
        <v>9868</v>
      </c>
      <c r="O108" s="109">
        <f t="shared" si="124"/>
        <v>180709</v>
      </c>
      <c r="Q108" s="61" t="str">
        <f t="shared" si="125"/>
        <v>2024-12</v>
      </c>
      <c r="R108" s="284">
        <v>856</v>
      </c>
      <c r="S108" s="284">
        <v>40424</v>
      </c>
      <c r="T108" s="284">
        <v>17857</v>
      </c>
      <c r="U108" s="284">
        <v>48</v>
      </c>
      <c r="V108" s="284">
        <v>64786</v>
      </c>
      <c r="W108" s="284">
        <v>237</v>
      </c>
      <c r="X108" s="284">
        <v>7730</v>
      </c>
      <c r="Y108" s="284">
        <v>23988</v>
      </c>
      <c r="Z108" s="284">
        <v>4087</v>
      </c>
      <c r="AA108" s="284">
        <v>2196</v>
      </c>
      <c r="AB108" s="284">
        <v>6402</v>
      </c>
      <c r="AC108" s="284">
        <v>2230</v>
      </c>
      <c r="AD108" s="284">
        <v>9868</v>
      </c>
      <c r="AE108" s="190">
        <f t="shared" si="126"/>
        <v>180709</v>
      </c>
    </row>
    <row r="109" spans="1:31" x14ac:dyDescent="0.15">
      <c r="A109" s="101" t="str">
        <f t="shared" si="121"/>
        <v>2025-01</v>
      </c>
      <c r="B109" s="109">
        <f t="shared" si="127"/>
        <v>864</v>
      </c>
      <c r="C109" s="109">
        <f t="shared" si="128"/>
        <v>37559</v>
      </c>
      <c r="D109" s="109">
        <f t="shared" si="129"/>
        <v>17895</v>
      </c>
      <c r="E109" s="137">
        <f t="shared" si="130"/>
        <v>54</v>
      </c>
      <c r="F109" s="137">
        <f t="shared" si="131"/>
        <v>500110</v>
      </c>
      <c r="G109" s="137">
        <f t="shared" si="132"/>
        <v>248</v>
      </c>
      <c r="H109" s="109">
        <f t="shared" si="133"/>
        <v>25041</v>
      </c>
      <c r="I109" s="109">
        <f t="shared" si="134"/>
        <v>8242</v>
      </c>
      <c r="J109" s="109">
        <f t="shared" si="135"/>
        <v>3744</v>
      </c>
      <c r="K109" s="109">
        <f t="shared" si="136"/>
        <v>2282</v>
      </c>
      <c r="L109" s="109">
        <f t="shared" si="137"/>
        <v>7746</v>
      </c>
      <c r="M109" s="109">
        <f t="shared" si="138"/>
        <v>2166</v>
      </c>
      <c r="N109" s="109">
        <f t="shared" si="139"/>
        <v>11076</v>
      </c>
      <c r="O109" s="109">
        <f t="shared" si="124"/>
        <v>617027</v>
      </c>
      <c r="Q109" s="61" t="str">
        <f t="shared" si="125"/>
        <v>2025-01</v>
      </c>
      <c r="R109" s="284">
        <v>864</v>
      </c>
      <c r="S109" s="284">
        <v>37559</v>
      </c>
      <c r="T109" s="284">
        <v>17895</v>
      </c>
      <c r="U109" s="284">
        <v>54</v>
      </c>
      <c r="V109" s="284">
        <v>500110</v>
      </c>
      <c r="W109" s="284">
        <v>248</v>
      </c>
      <c r="X109" s="284">
        <v>8242</v>
      </c>
      <c r="Y109" s="284">
        <v>25041</v>
      </c>
      <c r="Z109" s="284">
        <v>3744</v>
      </c>
      <c r="AA109" s="284">
        <v>2282</v>
      </c>
      <c r="AB109" s="284">
        <v>7746</v>
      </c>
      <c r="AC109" s="284">
        <v>2166</v>
      </c>
      <c r="AD109" s="284">
        <v>11076</v>
      </c>
      <c r="AE109" s="190">
        <f t="shared" si="126"/>
        <v>617027</v>
      </c>
    </row>
    <row r="110" spans="1:31" x14ac:dyDescent="0.15">
      <c r="A110" s="101" t="str">
        <f t="shared" si="121"/>
        <v>2025-02</v>
      </c>
      <c r="B110" s="109">
        <f t="shared" si="127"/>
        <v>915</v>
      </c>
      <c r="C110" s="109">
        <f t="shared" si="128"/>
        <v>37599</v>
      </c>
      <c r="D110" s="109">
        <f t="shared" si="129"/>
        <v>16030</v>
      </c>
      <c r="E110" s="137">
        <f t="shared" si="130"/>
        <v>51</v>
      </c>
      <c r="F110" s="137">
        <f t="shared" si="131"/>
        <v>648433</v>
      </c>
      <c r="G110" s="137">
        <f t="shared" si="132"/>
        <v>286</v>
      </c>
      <c r="H110" s="109">
        <f t="shared" si="133"/>
        <v>29554</v>
      </c>
      <c r="I110" s="109">
        <f t="shared" si="134"/>
        <v>25062</v>
      </c>
      <c r="J110" s="109">
        <f t="shared" si="135"/>
        <v>3956</v>
      </c>
      <c r="K110" s="109">
        <f t="shared" si="136"/>
        <v>2707</v>
      </c>
      <c r="L110" s="109">
        <f t="shared" si="137"/>
        <v>8955</v>
      </c>
      <c r="M110" s="109">
        <f t="shared" si="138"/>
        <v>2360</v>
      </c>
      <c r="N110" s="109">
        <f t="shared" si="139"/>
        <v>10716</v>
      </c>
      <c r="O110" s="109">
        <f t="shared" si="124"/>
        <v>786624</v>
      </c>
      <c r="Q110" s="61" t="str">
        <f t="shared" si="125"/>
        <v>2025-02</v>
      </c>
      <c r="R110" s="284">
        <v>915</v>
      </c>
      <c r="S110" s="284">
        <v>37599</v>
      </c>
      <c r="T110" s="284">
        <v>16030</v>
      </c>
      <c r="U110" s="284">
        <v>51</v>
      </c>
      <c r="V110" s="284">
        <v>648433</v>
      </c>
      <c r="W110" s="284">
        <v>286</v>
      </c>
      <c r="X110" s="284">
        <v>25062</v>
      </c>
      <c r="Y110" s="284">
        <v>29554</v>
      </c>
      <c r="Z110" s="284">
        <v>3956</v>
      </c>
      <c r="AA110" s="284">
        <v>2707</v>
      </c>
      <c r="AB110" s="284">
        <v>8955</v>
      </c>
      <c r="AC110" s="284">
        <v>2360</v>
      </c>
      <c r="AD110" s="284">
        <v>10716</v>
      </c>
      <c r="AE110" s="190">
        <f t="shared" si="126"/>
        <v>786624</v>
      </c>
    </row>
    <row r="111" spans="1:31" x14ac:dyDescent="0.15">
      <c r="A111" s="101" t="str">
        <f t="shared" si="121"/>
        <v>2025-03</v>
      </c>
      <c r="B111" s="109">
        <f t="shared" si="127"/>
        <v>1010</v>
      </c>
      <c r="C111" s="109">
        <f t="shared" si="128"/>
        <v>43517</v>
      </c>
      <c r="D111" s="109">
        <f t="shared" si="129"/>
        <v>14848</v>
      </c>
      <c r="E111" s="137">
        <f t="shared" si="130"/>
        <v>58</v>
      </c>
      <c r="F111" s="137">
        <f t="shared" si="131"/>
        <v>12381</v>
      </c>
      <c r="G111" s="137">
        <f t="shared" si="132"/>
        <v>290</v>
      </c>
      <c r="H111" s="109">
        <f t="shared" si="133"/>
        <v>27792</v>
      </c>
      <c r="I111" s="109">
        <f t="shared" si="134"/>
        <v>18632</v>
      </c>
      <c r="J111" s="109">
        <f t="shared" si="135"/>
        <v>5046</v>
      </c>
      <c r="K111" s="109">
        <f t="shared" si="136"/>
        <v>3336</v>
      </c>
      <c r="L111" s="109">
        <f t="shared" si="137"/>
        <v>8672</v>
      </c>
      <c r="M111" s="109">
        <f t="shared" si="138"/>
        <v>2609</v>
      </c>
      <c r="N111" s="109">
        <f t="shared" si="139"/>
        <v>11522</v>
      </c>
      <c r="O111" s="109">
        <f t="shared" si="124"/>
        <v>149713</v>
      </c>
      <c r="Q111" s="61" t="str">
        <f t="shared" si="125"/>
        <v>2025-03</v>
      </c>
      <c r="R111" s="284">
        <v>1010</v>
      </c>
      <c r="S111" s="284">
        <v>43517</v>
      </c>
      <c r="T111" s="284">
        <v>14848</v>
      </c>
      <c r="U111" s="284">
        <v>58</v>
      </c>
      <c r="V111" s="284">
        <v>12381</v>
      </c>
      <c r="W111" s="284">
        <v>290</v>
      </c>
      <c r="X111" s="284">
        <v>18632</v>
      </c>
      <c r="Y111" s="284">
        <v>27792</v>
      </c>
      <c r="Z111" s="284">
        <v>5046</v>
      </c>
      <c r="AA111" s="284">
        <v>3336</v>
      </c>
      <c r="AB111" s="284">
        <v>8672</v>
      </c>
      <c r="AC111" s="284">
        <v>2609</v>
      </c>
      <c r="AD111" s="284">
        <v>11522</v>
      </c>
      <c r="AE111" s="190">
        <f t="shared" si="126"/>
        <v>149713</v>
      </c>
    </row>
    <row r="112" spans="1:31" x14ac:dyDescent="0.15">
      <c r="A112" s="101" t="str">
        <f t="shared" si="121"/>
        <v>2025-04</v>
      </c>
      <c r="B112" s="109">
        <f t="shared" si="127"/>
        <v>1023</v>
      </c>
      <c r="C112" s="109">
        <f t="shared" si="128"/>
        <v>35312</v>
      </c>
      <c r="D112" s="109">
        <f t="shared" si="129"/>
        <v>11169</v>
      </c>
      <c r="E112" s="137">
        <f t="shared" si="130"/>
        <v>32</v>
      </c>
      <c r="F112" s="137">
        <f t="shared" si="131"/>
        <v>13092</v>
      </c>
      <c r="G112" s="137">
        <f t="shared" si="132"/>
        <v>303</v>
      </c>
      <c r="H112" s="109">
        <f t="shared" si="133"/>
        <v>25982</v>
      </c>
      <c r="I112" s="109">
        <f t="shared" si="134"/>
        <v>10095</v>
      </c>
      <c r="J112" s="109">
        <f t="shared" si="135"/>
        <v>4466</v>
      </c>
      <c r="K112" s="109">
        <f t="shared" si="136"/>
        <v>2626</v>
      </c>
      <c r="L112" s="109">
        <f t="shared" si="137"/>
        <v>9013</v>
      </c>
      <c r="M112" s="109">
        <f t="shared" si="138"/>
        <v>2638</v>
      </c>
      <c r="N112" s="109">
        <f t="shared" si="139"/>
        <v>9861</v>
      </c>
      <c r="O112" s="109">
        <f t="shared" si="124"/>
        <v>125612</v>
      </c>
      <c r="Q112" s="61" t="str">
        <f t="shared" si="125"/>
        <v>2025-04</v>
      </c>
      <c r="R112" s="284">
        <v>1023</v>
      </c>
      <c r="S112" s="284">
        <v>35312</v>
      </c>
      <c r="T112" s="284">
        <v>11169</v>
      </c>
      <c r="U112" s="284">
        <v>32</v>
      </c>
      <c r="V112" s="284">
        <v>13092</v>
      </c>
      <c r="W112" s="284">
        <v>303</v>
      </c>
      <c r="X112" s="284">
        <v>10095</v>
      </c>
      <c r="Y112" s="284">
        <v>25982</v>
      </c>
      <c r="Z112" s="284">
        <v>4466</v>
      </c>
      <c r="AA112" s="284">
        <v>2626</v>
      </c>
      <c r="AB112" s="284">
        <v>9013</v>
      </c>
      <c r="AC112" s="284">
        <v>2638</v>
      </c>
      <c r="AD112" s="284">
        <v>9861</v>
      </c>
      <c r="AE112" s="190">
        <f t="shared" si="126"/>
        <v>125612</v>
      </c>
    </row>
    <row r="113" spans="1:31" x14ac:dyDescent="0.15">
      <c r="A113" s="101" t="str">
        <f t="shared" si="121"/>
        <v>2025-05</v>
      </c>
      <c r="B113" s="109">
        <f t="shared" si="127"/>
        <v>921</v>
      </c>
      <c r="C113" s="109">
        <f t="shared" si="128"/>
        <v>43705</v>
      </c>
      <c r="D113" s="109">
        <f t="shared" si="129"/>
        <v>10452</v>
      </c>
      <c r="E113" s="137">
        <f t="shared" si="130"/>
        <v>43</v>
      </c>
      <c r="F113" s="137">
        <f t="shared" si="131"/>
        <v>11707</v>
      </c>
      <c r="G113" s="137">
        <f t="shared" si="132"/>
        <v>217</v>
      </c>
      <c r="H113" s="109">
        <f t="shared" si="133"/>
        <v>25997</v>
      </c>
      <c r="I113" s="109">
        <f t="shared" si="134"/>
        <v>41850</v>
      </c>
      <c r="J113" s="109">
        <f t="shared" si="135"/>
        <v>4243</v>
      </c>
      <c r="K113" s="109">
        <f t="shared" si="136"/>
        <v>2717</v>
      </c>
      <c r="L113" s="109">
        <f t="shared" si="137"/>
        <v>9608</v>
      </c>
      <c r="M113" s="109">
        <f t="shared" si="138"/>
        <v>2672</v>
      </c>
      <c r="N113" s="109">
        <f t="shared" si="139"/>
        <v>8687</v>
      </c>
      <c r="O113" s="109">
        <f t="shared" si="124"/>
        <v>162819</v>
      </c>
      <c r="Q113" s="61" t="str">
        <f t="shared" si="125"/>
        <v>2025-05</v>
      </c>
      <c r="R113" s="284">
        <v>921</v>
      </c>
      <c r="S113" s="284">
        <v>43705</v>
      </c>
      <c r="T113" s="284">
        <v>10452</v>
      </c>
      <c r="U113" s="284">
        <v>43</v>
      </c>
      <c r="V113" s="284">
        <v>11707</v>
      </c>
      <c r="W113" s="284">
        <v>217</v>
      </c>
      <c r="X113" s="284">
        <v>41850</v>
      </c>
      <c r="Y113" s="284">
        <v>25997</v>
      </c>
      <c r="Z113" s="284">
        <v>4243</v>
      </c>
      <c r="AA113" s="284">
        <v>2717</v>
      </c>
      <c r="AB113" s="284">
        <v>9608</v>
      </c>
      <c r="AC113" s="284">
        <v>2672</v>
      </c>
      <c r="AD113" s="284">
        <v>8687</v>
      </c>
      <c r="AE113" s="190">
        <f t="shared" si="126"/>
        <v>162819</v>
      </c>
    </row>
    <row r="114" spans="1:31" x14ac:dyDescent="0.15">
      <c r="A114" s="101" t="str">
        <f t="shared" si="121"/>
        <v>2025-06</v>
      </c>
      <c r="B114" s="109">
        <f t="shared" si="127"/>
        <v>892</v>
      </c>
      <c r="C114" s="109">
        <f t="shared" si="128"/>
        <v>49635</v>
      </c>
      <c r="D114" s="109">
        <f t="shared" si="129"/>
        <v>10044</v>
      </c>
      <c r="E114" s="137">
        <f t="shared" si="130"/>
        <v>65</v>
      </c>
      <c r="F114" s="137">
        <f t="shared" si="131"/>
        <v>10819</v>
      </c>
      <c r="G114" s="137">
        <f t="shared" si="132"/>
        <v>227</v>
      </c>
      <c r="H114" s="109">
        <f t="shared" si="133"/>
        <v>22268</v>
      </c>
      <c r="I114" s="109">
        <f t="shared" si="134"/>
        <v>9186</v>
      </c>
      <c r="J114" s="109">
        <f t="shared" si="135"/>
        <v>3985</v>
      </c>
      <c r="K114" s="109">
        <f t="shared" si="136"/>
        <v>2254</v>
      </c>
      <c r="L114" s="109">
        <f t="shared" si="137"/>
        <v>10012</v>
      </c>
      <c r="M114" s="109">
        <f t="shared" si="138"/>
        <v>2302</v>
      </c>
      <c r="N114" s="109">
        <f t="shared" si="139"/>
        <v>9108</v>
      </c>
      <c r="O114" s="109">
        <f t="shared" si="124"/>
        <v>130797</v>
      </c>
      <c r="Q114" s="61" t="str">
        <f t="shared" si="125"/>
        <v>2025-06</v>
      </c>
      <c r="R114" s="284">
        <v>892</v>
      </c>
      <c r="S114" s="284">
        <v>49635</v>
      </c>
      <c r="T114" s="284">
        <v>10044</v>
      </c>
      <c r="U114" s="284">
        <v>65</v>
      </c>
      <c r="V114" s="284">
        <v>10819</v>
      </c>
      <c r="W114" s="284">
        <v>227</v>
      </c>
      <c r="X114" s="284">
        <v>9186</v>
      </c>
      <c r="Y114" s="284">
        <v>22268</v>
      </c>
      <c r="Z114" s="284">
        <v>3985</v>
      </c>
      <c r="AA114" s="284">
        <v>2254</v>
      </c>
      <c r="AB114" s="284">
        <v>10012</v>
      </c>
      <c r="AC114" s="284">
        <v>2302</v>
      </c>
      <c r="AD114" s="284">
        <v>9108</v>
      </c>
      <c r="AE114" s="190">
        <f t="shared" si="126"/>
        <v>130797</v>
      </c>
    </row>
    <row r="115" spans="1:31" x14ac:dyDescent="0.15">
      <c r="A115" s="101" t="str">
        <f t="shared" si="121"/>
        <v>2025-07</v>
      </c>
      <c r="B115" s="109">
        <f t="shared" si="127"/>
        <v>917</v>
      </c>
      <c r="C115" s="109">
        <f t="shared" si="128"/>
        <v>41137</v>
      </c>
      <c r="D115" s="109">
        <f t="shared" si="129"/>
        <v>9849</v>
      </c>
      <c r="E115" s="137">
        <f t="shared" si="130"/>
        <v>76</v>
      </c>
      <c r="F115" s="137">
        <f t="shared" si="131"/>
        <v>9377</v>
      </c>
      <c r="G115" s="137">
        <f t="shared" si="132"/>
        <v>220</v>
      </c>
      <c r="H115" s="109">
        <f t="shared" si="133"/>
        <v>20601</v>
      </c>
      <c r="I115" s="109">
        <f t="shared" si="134"/>
        <v>34792</v>
      </c>
      <c r="J115" s="109">
        <f t="shared" si="135"/>
        <v>5355</v>
      </c>
      <c r="K115" s="109">
        <f t="shared" si="136"/>
        <v>1993</v>
      </c>
      <c r="L115" s="109">
        <f t="shared" si="137"/>
        <v>9481</v>
      </c>
      <c r="M115" s="109">
        <f t="shared" si="138"/>
        <v>2320</v>
      </c>
      <c r="N115" s="109">
        <f t="shared" si="139"/>
        <v>10772</v>
      </c>
      <c r="O115" s="109">
        <f t="shared" si="124"/>
        <v>146890</v>
      </c>
      <c r="Q115" s="61" t="str">
        <f t="shared" si="125"/>
        <v>2025-07</v>
      </c>
      <c r="R115" s="284">
        <v>917</v>
      </c>
      <c r="S115" s="284">
        <v>41137</v>
      </c>
      <c r="T115" s="284">
        <v>9849</v>
      </c>
      <c r="U115" s="284">
        <v>76</v>
      </c>
      <c r="V115" s="284">
        <v>9377</v>
      </c>
      <c r="W115" s="284">
        <v>220</v>
      </c>
      <c r="X115" s="284">
        <v>34792</v>
      </c>
      <c r="Y115" s="284">
        <v>20601</v>
      </c>
      <c r="Z115" s="284">
        <v>5355</v>
      </c>
      <c r="AA115" s="284">
        <v>1993</v>
      </c>
      <c r="AB115" s="284">
        <v>9481</v>
      </c>
      <c r="AC115" s="284">
        <v>2320</v>
      </c>
      <c r="AD115" s="284">
        <v>10772</v>
      </c>
      <c r="AE115" s="190">
        <f t="shared" si="126"/>
        <v>146890</v>
      </c>
    </row>
    <row r="116" spans="1:31" x14ac:dyDescent="0.15">
      <c r="A116" s="101" t="str">
        <f t="shared" si="121"/>
        <v>2025-08</v>
      </c>
      <c r="B116" s="109">
        <f t="shared" si="127"/>
        <v>885</v>
      </c>
      <c r="C116" s="109">
        <f t="shared" si="128"/>
        <v>38672</v>
      </c>
      <c r="D116" s="109">
        <f t="shared" si="129"/>
        <v>9655</v>
      </c>
      <c r="E116" s="137">
        <f t="shared" si="130"/>
        <v>109</v>
      </c>
      <c r="F116" s="137">
        <f t="shared" si="131"/>
        <v>7951</v>
      </c>
      <c r="G116" s="137">
        <f t="shared" si="132"/>
        <v>192</v>
      </c>
      <c r="H116" s="109">
        <f t="shared" si="133"/>
        <v>18538</v>
      </c>
      <c r="I116" s="109">
        <f t="shared" si="134"/>
        <v>301546</v>
      </c>
      <c r="J116" s="109">
        <f t="shared" si="135"/>
        <v>4253</v>
      </c>
      <c r="K116" s="109">
        <f t="shared" si="136"/>
        <v>1775</v>
      </c>
      <c r="L116" s="109">
        <f t="shared" si="137"/>
        <v>88769</v>
      </c>
      <c r="M116" s="109">
        <f t="shared" si="138"/>
        <v>2257</v>
      </c>
      <c r="N116" s="109">
        <f t="shared" si="139"/>
        <v>23999</v>
      </c>
      <c r="O116" s="109">
        <f t="shared" si="124"/>
        <v>498601</v>
      </c>
      <c r="Q116" s="61" t="str">
        <f t="shared" si="125"/>
        <v>2025-08</v>
      </c>
      <c r="R116" s="284">
        <v>885</v>
      </c>
      <c r="S116" s="284">
        <v>38672</v>
      </c>
      <c r="T116" s="284">
        <v>9655</v>
      </c>
      <c r="U116" s="284">
        <v>109</v>
      </c>
      <c r="V116" s="284">
        <v>7951</v>
      </c>
      <c r="W116" s="284">
        <v>192</v>
      </c>
      <c r="X116" s="284">
        <v>301546</v>
      </c>
      <c r="Y116" s="284">
        <v>18538</v>
      </c>
      <c r="Z116" s="284">
        <v>4253</v>
      </c>
      <c r="AA116" s="284">
        <v>1775</v>
      </c>
      <c r="AB116" s="284">
        <v>88769</v>
      </c>
      <c r="AC116" s="284">
        <v>2257</v>
      </c>
      <c r="AD116" s="284">
        <v>23999</v>
      </c>
      <c r="AE116" s="190">
        <f t="shared" si="126"/>
        <v>498601</v>
      </c>
    </row>
    <row r="117" spans="1:31" x14ac:dyDescent="0.15">
      <c r="A117" s="101" t="str">
        <f t="shared" si="121"/>
        <v>2025-09</v>
      </c>
      <c r="B117" s="109">
        <f t="shared" si="127"/>
        <v>1037</v>
      </c>
      <c r="C117" s="109">
        <f t="shared" si="128"/>
        <v>69888</v>
      </c>
      <c r="D117" s="109">
        <f t="shared" si="129"/>
        <v>10032</v>
      </c>
      <c r="E117" s="137">
        <f t="shared" si="130"/>
        <v>88</v>
      </c>
      <c r="F117" s="137">
        <f t="shared" si="131"/>
        <v>9413</v>
      </c>
      <c r="G117" s="137">
        <f t="shared" si="132"/>
        <v>233</v>
      </c>
      <c r="H117" s="109">
        <f t="shared" si="133"/>
        <v>43438</v>
      </c>
      <c r="I117" s="109">
        <f t="shared" si="134"/>
        <v>428685</v>
      </c>
      <c r="J117" s="109">
        <f t="shared" si="135"/>
        <v>14456</v>
      </c>
      <c r="K117" s="109">
        <f t="shared" si="136"/>
        <v>2985</v>
      </c>
      <c r="L117" s="109">
        <f t="shared" si="137"/>
        <v>12957</v>
      </c>
      <c r="M117" s="109">
        <f t="shared" si="138"/>
        <v>2865</v>
      </c>
      <c r="N117" s="109">
        <f t="shared" si="139"/>
        <v>12456</v>
      </c>
      <c r="O117" s="109">
        <f t="shared" si="124"/>
        <v>608533</v>
      </c>
      <c r="Q117" s="61" t="str">
        <f t="shared" si="125"/>
        <v>2025-09</v>
      </c>
      <c r="R117" s="284">
        <v>1037</v>
      </c>
      <c r="S117" s="284">
        <v>69888</v>
      </c>
      <c r="T117" s="284">
        <v>10032</v>
      </c>
      <c r="U117" s="284">
        <v>88</v>
      </c>
      <c r="V117" s="284">
        <v>9413</v>
      </c>
      <c r="W117" s="284">
        <v>233</v>
      </c>
      <c r="X117" s="284">
        <v>428685</v>
      </c>
      <c r="Y117" s="284">
        <v>43438</v>
      </c>
      <c r="Z117" s="284">
        <v>14456</v>
      </c>
      <c r="AA117" s="284">
        <v>2985</v>
      </c>
      <c r="AB117" s="284">
        <v>12957</v>
      </c>
      <c r="AC117" s="284">
        <v>2865</v>
      </c>
      <c r="AD117" s="284">
        <v>12456</v>
      </c>
      <c r="AE117" s="190">
        <f t="shared" si="126"/>
        <v>608533</v>
      </c>
    </row>
    <row r="118" spans="1:31" x14ac:dyDescent="0.15">
      <c r="A118" s="102" t="str">
        <f t="shared" si="121"/>
        <v>Total Users</v>
      </c>
      <c r="B118" s="109">
        <f>SUM(B106:B117)</f>
        <v>11138</v>
      </c>
      <c r="C118" s="109">
        <f t="shared" ref="C118:N118" si="140">SUM(C106:C117)</f>
        <v>531932</v>
      </c>
      <c r="D118" s="109">
        <f t="shared" si="140"/>
        <v>165136</v>
      </c>
      <c r="E118" s="109">
        <f t="shared" si="140"/>
        <v>722</v>
      </c>
      <c r="F118" s="109">
        <f t="shared" si="140"/>
        <v>1337704</v>
      </c>
      <c r="G118" s="109">
        <f t="shared" si="140"/>
        <v>3044</v>
      </c>
      <c r="H118" s="109">
        <f>AA118+AB118+AC118</f>
        <v>373740</v>
      </c>
      <c r="I118" s="109">
        <f t="shared" si="140"/>
        <v>900026</v>
      </c>
      <c r="J118" s="109">
        <f t="shared" si="140"/>
        <v>61205</v>
      </c>
      <c r="K118" s="109">
        <f t="shared" si="140"/>
        <v>30695</v>
      </c>
      <c r="L118" s="109">
        <f t="shared" si="140"/>
        <v>313176</v>
      </c>
      <c r="M118" s="109">
        <f t="shared" si="140"/>
        <v>29869</v>
      </c>
      <c r="N118" s="109">
        <f t="shared" si="140"/>
        <v>141241</v>
      </c>
      <c r="O118" s="109">
        <f t="shared" si="124"/>
        <v>3899628</v>
      </c>
      <c r="P118" s="32" t="s">
        <v>166</v>
      </c>
      <c r="Q118" s="59" t="s">
        <v>142</v>
      </c>
      <c r="R118" s="190">
        <f>SUM(R106:R117)</f>
        <v>11138</v>
      </c>
      <c r="S118" s="190">
        <f t="shared" ref="S118:AE118" si="141">SUM(S106:S117)</f>
        <v>531932</v>
      </c>
      <c r="T118" s="190"/>
      <c r="U118" s="190">
        <f t="shared" si="141"/>
        <v>722</v>
      </c>
      <c r="V118" s="190">
        <f t="shared" si="141"/>
        <v>1337704</v>
      </c>
      <c r="W118" s="190">
        <f t="shared" si="141"/>
        <v>3044</v>
      </c>
      <c r="X118" s="190">
        <f t="shared" si="141"/>
        <v>900026</v>
      </c>
      <c r="Y118" s="190">
        <f t="shared" si="141"/>
        <v>318194</v>
      </c>
      <c r="Z118" s="190">
        <f t="shared" si="141"/>
        <v>61205</v>
      </c>
      <c r="AA118" s="190">
        <f t="shared" si="141"/>
        <v>30695</v>
      </c>
      <c r="AB118" s="190">
        <f t="shared" si="141"/>
        <v>313176</v>
      </c>
      <c r="AC118" s="190">
        <f t="shared" si="141"/>
        <v>29869</v>
      </c>
      <c r="AD118" s="190">
        <f t="shared" si="141"/>
        <v>141241</v>
      </c>
      <c r="AE118" s="190">
        <f t="shared" si="141"/>
        <v>3844082</v>
      </c>
    </row>
    <row r="119" spans="1:31" x14ac:dyDescent="0.15">
      <c r="A119" s="60" t="s">
        <v>29</v>
      </c>
      <c r="B119" s="125">
        <f>AVERAGE(B106:B117)</f>
        <v>928.16666666666663</v>
      </c>
      <c r="C119" s="125">
        <f t="shared" ref="C119:N119" si="142">AVERAGE(C106:C117)</f>
        <v>44327.666666666664</v>
      </c>
      <c r="D119" s="125">
        <f t="shared" si="142"/>
        <v>13761.333333333334</v>
      </c>
      <c r="E119" s="125">
        <f t="shared" si="142"/>
        <v>60.166666666666664</v>
      </c>
      <c r="F119" s="125">
        <f t="shared" si="142"/>
        <v>111475.33333333333</v>
      </c>
      <c r="G119" s="125">
        <f t="shared" si="142"/>
        <v>253.66666666666666</v>
      </c>
      <c r="H119" s="125">
        <f t="shared" si="142"/>
        <v>26516.166666666668</v>
      </c>
      <c r="I119" s="125">
        <f t="shared" si="142"/>
        <v>75002.166666666672</v>
      </c>
      <c r="J119" s="125">
        <f t="shared" si="142"/>
        <v>5100.416666666667</v>
      </c>
      <c r="K119" s="125">
        <f t="shared" si="142"/>
        <v>2557.9166666666665</v>
      </c>
      <c r="L119" s="125">
        <f t="shared" si="142"/>
        <v>26098</v>
      </c>
      <c r="M119" s="125">
        <f t="shared" si="142"/>
        <v>2489.0833333333335</v>
      </c>
      <c r="N119" s="125">
        <f t="shared" si="142"/>
        <v>11770.083333333334</v>
      </c>
      <c r="O119" s="21"/>
    </row>
    <row r="120" spans="1:31" x14ac:dyDescent="0.15">
      <c r="A120" s="283" t="s">
        <v>206</v>
      </c>
      <c r="B120" s="284">
        <v>6659</v>
      </c>
      <c r="C120" s="284">
        <v>391328</v>
      </c>
      <c r="D120" s="284">
        <v>98097</v>
      </c>
      <c r="E120" s="284">
        <v>670</v>
      </c>
      <c r="F120" s="284">
        <v>1257054</v>
      </c>
      <c r="G120" s="284">
        <v>2119</v>
      </c>
      <c r="H120" s="284">
        <v>227581</v>
      </c>
      <c r="I120" s="284">
        <v>810540</v>
      </c>
      <c r="J120" s="284">
        <v>42868</v>
      </c>
      <c r="K120" s="284">
        <v>18257</v>
      </c>
      <c r="L120" s="284">
        <v>269140</v>
      </c>
      <c r="M120" s="284">
        <v>17445</v>
      </c>
      <c r="N120" s="284">
        <v>112983</v>
      </c>
      <c r="O120" s="109">
        <v>3254741</v>
      </c>
      <c r="P120" s="32" t="s">
        <v>85</v>
      </c>
    </row>
    <row r="121" spans="1:31" x14ac:dyDescent="0.15">
      <c r="A121" s="283" t="s">
        <v>175</v>
      </c>
      <c r="B121" s="284">
        <v>6340</v>
      </c>
      <c r="C121" s="284">
        <v>386121</v>
      </c>
      <c r="D121" s="284">
        <v>187929</v>
      </c>
      <c r="E121" s="284">
        <v>20</v>
      </c>
      <c r="F121" s="284">
        <v>2427882</v>
      </c>
      <c r="G121" s="284">
        <v>2351</v>
      </c>
      <c r="H121" s="284">
        <v>43444</v>
      </c>
      <c r="I121" s="284">
        <v>224956</v>
      </c>
      <c r="J121" s="284">
        <v>33278</v>
      </c>
      <c r="K121" s="284">
        <v>14243</v>
      </c>
      <c r="L121" s="284">
        <v>325977</v>
      </c>
      <c r="M121" s="284">
        <v>17140</v>
      </c>
      <c r="N121" s="284">
        <v>193695</v>
      </c>
      <c r="O121" s="109">
        <f>SUM(B121:N121)</f>
        <v>3863376</v>
      </c>
      <c r="P121" s="32" t="s">
        <v>85</v>
      </c>
    </row>
    <row r="123" spans="1:31" x14ac:dyDescent="0.15">
      <c r="B123" s="378" t="s">
        <v>30</v>
      </c>
      <c r="C123" s="379"/>
      <c r="D123" s="379"/>
      <c r="E123" s="379"/>
      <c r="F123" s="379"/>
      <c r="G123" s="379"/>
      <c r="H123" s="379"/>
      <c r="I123" s="379"/>
      <c r="J123" s="379"/>
      <c r="K123" s="379"/>
      <c r="L123" s="379"/>
      <c r="M123" s="379"/>
    </row>
    <row r="124" spans="1:31" ht="28" x14ac:dyDescent="0.15">
      <c r="A124" s="120" t="s">
        <v>16</v>
      </c>
      <c r="B124" s="121" t="s">
        <v>3</v>
      </c>
      <c r="C124" s="121" t="s">
        <v>4</v>
      </c>
      <c r="D124" s="121" t="s">
        <v>5</v>
      </c>
      <c r="E124" s="121" t="s">
        <v>161</v>
      </c>
      <c r="F124" s="121" t="s">
        <v>6</v>
      </c>
      <c r="G124" s="121" t="s">
        <v>7</v>
      </c>
      <c r="H124" s="122" t="s">
        <v>14</v>
      </c>
      <c r="I124" s="123" t="s">
        <v>114</v>
      </c>
      <c r="J124" s="122" t="s">
        <v>8</v>
      </c>
      <c r="K124" s="122" t="s">
        <v>17</v>
      </c>
      <c r="L124" s="122" t="s">
        <v>9</v>
      </c>
      <c r="M124" s="122" t="s">
        <v>12</v>
      </c>
      <c r="N124" s="122" t="s">
        <v>10</v>
      </c>
    </row>
    <row r="125" spans="1:31" x14ac:dyDescent="0.15">
      <c r="A125" s="156" t="str">
        <f>A89</f>
        <v>2024-10</v>
      </c>
      <c r="B125" s="160">
        <f>B106-B$119</f>
        <v>6.8333333333333712</v>
      </c>
      <c r="C125" s="160">
        <f t="shared" ref="C125:D125" si="143">C106-C$119</f>
        <v>540.33333333333576</v>
      </c>
      <c r="D125" s="160">
        <f t="shared" si="143"/>
        <v>4842.6666666666661</v>
      </c>
      <c r="E125" s="160"/>
      <c r="F125" s="160">
        <f t="shared" ref="F125:N125" si="144">F106-F$119</f>
        <v>-90230.333333333328</v>
      </c>
      <c r="G125" s="160">
        <f t="shared" si="144"/>
        <v>67.333333333333343</v>
      </c>
      <c r="H125" s="160">
        <f t="shared" si="144"/>
        <v>1437.8333333333321</v>
      </c>
      <c r="I125" s="160">
        <f t="shared" si="144"/>
        <v>-67667.166666666672</v>
      </c>
      <c r="J125" s="160">
        <f t="shared" si="144"/>
        <v>-1259.416666666667</v>
      </c>
      <c r="K125" s="160">
        <f t="shared" si="144"/>
        <v>404.08333333333348</v>
      </c>
      <c r="L125" s="160">
        <f t="shared" si="144"/>
        <v>91610</v>
      </c>
      <c r="M125" s="160">
        <f t="shared" si="144"/>
        <v>393.91666666666652</v>
      </c>
      <c r="N125" s="160">
        <f t="shared" si="144"/>
        <v>1663.9166666666661</v>
      </c>
      <c r="O125" s="14"/>
      <c r="P125" s="14"/>
    </row>
    <row r="126" spans="1:31" x14ac:dyDescent="0.15">
      <c r="A126" s="156" t="str">
        <f t="shared" ref="A126:A136" si="145">A90</f>
        <v>2024-11</v>
      </c>
      <c r="B126" s="160">
        <f t="shared" ref="B126:D126" si="146">B107-B$119</f>
        <v>-45.166666666666629</v>
      </c>
      <c r="C126" s="160">
        <f t="shared" si="146"/>
        <v>5288.3333333333358</v>
      </c>
      <c r="D126" s="160">
        <f t="shared" si="146"/>
        <v>4939.6666666666661</v>
      </c>
      <c r="E126" s="160"/>
      <c r="F126" s="160">
        <f t="shared" ref="F126:N126" si="147">F107-F$119</f>
        <v>-83085.333333333328</v>
      </c>
      <c r="G126" s="160">
        <f t="shared" si="147"/>
        <v>16.333333333333343</v>
      </c>
      <c r="H126" s="160">
        <f t="shared" si="147"/>
        <v>524.83333333333212</v>
      </c>
      <c r="I126" s="160">
        <f t="shared" si="147"/>
        <v>-68131.166666666672</v>
      </c>
      <c r="J126" s="160">
        <f t="shared" si="147"/>
        <v>-1327.416666666667</v>
      </c>
      <c r="K126" s="160">
        <f t="shared" si="147"/>
        <v>304.08333333333348</v>
      </c>
      <c r="L126" s="160">
        <f t="shared" si="147"/>
        <v>-2245</v>
      </c>
      <c r="M126" s="160">
        <f t="shared" si="147"/>
        <v>77.916666666666515</v>
      </c>
      <c r="N126" s="160">
        <f t="shared" si="147"/>
        <v>-2028.0833333333339</v>
      </c>
    </row>
    <row r="127" spans="1:31" x14ac:dyDescent="0.15">
      <c r="A127" s="156" t="str">
        <f t="shared" si="145"/>
        <v>2024-12</v>
      </c>
      <c r="B127" s="160">
        <f t="shared" ref="B127:D127" si="148">B108-B$119</f>
        <v>-72.166666666666629</v>
      </c>
      <c r="C127" s="160">
        <f t="shared" si="148"/>
        <v>-3903.6666666666642</v>
      </c>
      <c r="D127" s="160">
        <f t="shared" si="148"/>
        <v>4095.6666666666661</v>
      </c>
      <c r="E127" s="160"/>
      <c r="F127" s="160">
        <f t="shared" ref="F127:N127" si="149">F108-F$119</f>
        <v>-46689.333333333328</v>
      </c>
      <c r="G127" s="160">
        <f t="shared" si="149"/>
        <v>-16.666666666666657</v>
      </c>
      <c r="H127" s="160">
        <f t="shared" si="149"/>
        <v>-2528.1666666666679</v>
      </c>
      <c r="I127" s="160">
        <f t="shared" si="149"/>
        <v>-67272.166666666672</v>
      </c>
      <c r="J127" s="160">
        <f t="shared" si="149"/>
        <v>-1013.416666666667</v>
      </c>
      <c r="K127" s="160">
        <f t="shared" si="149"/>
        <v>-361.91666666666652</v>
      </c>
      <c r="L127" s="160">
        <f t="shared" si="149"/>
        <v>-19696</v>
      </c>
      <c r="M127" s="160">
        <f t="shared" si="149"/>
        <v>-259.08333333333348</v>
      </c>
      <c r="N127" s="160">
        <f t="shared" si="149"/>
        <v>-1902.0833333333339</v>
      </c>
    </row>
    <row r="128" spans="1:31" x14ac:dyDescent="0.15">
      <c r="A128" s="156" t="str">
        <f t="shared" si="145"/>
        <v>2025-01</v>
      </c>
      <c r="B128" s="160">
        <f t="shared" ref="B128:D128" si="150">B109-B$119</f>
        <v>-64.166666666666629</v>
      </c>
      <c r="C128" s="160">
        <f t="shared" si="150"/>
        <v>-6768.6666666666642</v>
      </c>
      <c r="D128" s="160">
        <f t="shared" si="150"/>
        <v>4133.6666666666661</v>
      </c>
      <c r="E128" s="160"/>
      <c r="F128" s="160">
        <f t="shared" ref="F128:N128" si="151">F109-F$119</f>
        <v>388634.66666666669</v>
      </c>
      <c r="G128" s="160">
        <f t="shared" si="151"/>
        <v>-5.6666666666666572</v>
      </c>
      <c r="H128" s="160">
        <f t="shared" si="151"/>
        <v>-1475.1666666666679</v>
      </c>
      <c r="I128" s="160">
        <f t="shared" si="151"/>
        <v>-66760.166666666672</v>
      </c>
      <c r="J128" s="160">
        <f t="shared" si="151"/>
        <v>-1356.416666666667</v>
      </c>
      <c r="K128" s="160">
        <f t="shared" si="151"/>
        <v>-275.91666666666652</v>
      </c>
      <c r="L128" s="160">
        <f t="shared" si="151"/>
        <v>-18352</v>
      </c>
      <c r="M128" s="160">
        <f t="shared" si="151"/>
        <v>-323.08333333333348</v>
      </c>
      <c r="N128" s="160">
        <f t="shared" si="151"/>
        <v>-694.08333333333394</v>
      </c>
    </row>
    <row r="129" spans="1:14" x14ac:dyDescent="0.15">
      <c r="A129" s="156" t="str">
        <f t="shared" si="145"/>
        <v>2025-02</v>
      </c>
      <c r="B129" s="160">
        <f t="shared" ref="B129:D129" si="152">B110-B$119</f>
        <v>-13.166666666666629</v>
      </c>
      <c r="C129" s="160">
        <f t="shared" si="152"/>
        <v>-6728.6666666666642</v>
      </c>
      <c r="D129" s="160">
        <f t="shared" si="152"/>
        <v>2268.6666666666661</v>
      </c>
      <c r="E129" s="160"/>
      <c r="F129" s="160">
        <f t="shared" ref="F129:N129" si="153">F110-F$119</f>
        <v>536957.66666666663</v>
      </c>
      <c r="G129" s="160">
        <f t="shared" si="153"/>
        <v>32.333333333333343</v>
      </c>
      <c r="H129" s="160">
        <f t="shared" si="153"/>
        <v>3037.8333333333321</v>
      </c>
      <c r="I129" s="160">
        <f t="shared" si="153"/>
        <v>-49940.166666666672</v>
      </c>
      <c r="J129" s="160">
        <f t="shared" si="153"/>
        <v>-1144.416666666667</v>
      </c>
      <c r="K129" s="160">
        <f t="shared" si="153"/>
        <v>149.08333333333348</v>
      </c>
      <c r="L129" s="160">
        <f t="shared" si="153"/>
        <v>-17143</v>
      </c>
      <c r="M129" s="160">
        <f t="shared" si="153"/>
        <v>-129.08333333333348</v>
      </c>
      <c r="N129" s="160">
        <f t="shared" si="153"/>
        <v>-1054.0833333333339</v>
      </c>
    </row>
    <row r="130" spans="1:14" x14ac:dyDescent="0.15">
      <c r="A130" s="156" t="str">
        <f t="shared" si="145"/>
        <v>2025-03</v>
      </c>
      <c r="B130" s="160">
        <f t="shared" ref="B130:D130" si="154">B111-B$119</f>
        <v>81.833333333333371</v>
      </c>
      <c r="C130" s="160">
        <f t="shared" si="154"/>
        <v>-810.66666666666424</v>
      </c>
      <c r="D130" s="160">
        <f t="shared" si="154"/>
        <v>1086.6666666666661</v>
      </c>
      <c r="E130" s="160"/>
      <c r="F130" s="160">
        <f t="shared" ref="F130:N130" si="155">F111-F$119</f>
        <v>-99094.333333333328</v>
      </c>
      <c r="G130" s="160">
        <f t="shared" si="155"/>
        <v>36.333333333333343</v>
      </c>
      <c r="H130" s="160">
        <f t="shared" si="155"/>
        <v>1275.8333333333321</v>
      </c>
      <c r="I130" s="160">
        <f t="shared" si="155"/>
        <v>-56370.166666666672</v>
      </c>
      <c r="J130" s="160">
        <f t="shared" si="155"/>
        <v>-54.41666666666697</v>
      </c>
      <c r="K130" s="160">
        <f t="shared" si="155"/>
        <v>778.08333333333348</v>
      </c>
      <c r="L130" s="160">
        <f t="shared" si="155"/>
        <v>-17426</v>
      </c>
      <c r="M130" s="160">
        <f t="shared" si="155"/>
        <v>119.91666666666652</v>
      </c>
      <c r="N130" s="160">
        <f t="shared" si="155"/>
        <v>-248.08333333333394</v>
      </c>
    </row>
    <row r="131" spans="1:14" x14ac:dyDescent="0.15">
      <c r="A131" s="156" t="str">
        <f t="shared" si="145"/>
        <v>2025-04</v>
      </c>
      <c r="B131" s="160">
        <f t="shared" ref="B131:D131" si="156">B112-B$119</f>
        <v>94.833333333333371</v>
      </c>
      <c r="C131" s="160">
        <f t="shared" si="156"/>
        <v>-9015.6666666666642</v>
      </c>
      <c r="D131" s="160">
        <f t="shared" si="156"/>
        <v>-2592.3333333333339</v>
      </c>
      <c r="E131" s="160"/>
      <c r="F131" s="160">
        <f t="shared" ref="F131:N131" si="157">F112-F$119</f>
        <v>-98383.333333333328</v>
      </c>
      <c r="G131" s="160">
        <f t="shared" si="157"/>
        <v>49.333333333333343</v>
      </c>
      <c r="H131" s="160">
        <f t="shared" si="157"/>
        <v>-534.16666666666788</v>
      </c>
      <c r="I131" s="160">
        <f t="shared" si="157"/>
        <v>-64907.166666666672</v>
      </c>
      <c r="J131" s="160">
        <f t="shared" si="157"/>
        <v>-634.41666666666697</v>
      </c>
      <c r="K131" s="160">
        <f t="shared" si="157"/>
        <v>68.083333333333485</v>
      </c>
      <c r="L131" s="160">
        <f t="shared" si="157"/>
        <v>-17085</v>
      </c>
      <c r="M131" s="160">
        <f t="shared" si="157"/>
        <v>148.91666666666652</v>
      </c>
      <c r="N131" s="160">
        <f t="shared" si="157"/>
        <v>-1909.0833333333339</v>
      </c>
    </row>
    <row r="132" spans="1:14" x14ac:dyDescent="0.15">
      <c r="A132" s="156" t="str">
        <f t="shared" si="145"/>
        <v>2025-05</v>
      </c>
      <c r="B132" s="160">
        <f t="shared" ref="B132:D132" si="158">B113-B$119</f>
        <v>-7.1666666666666288</v>
      </c>
      <c r="C132" s="160">
        <f t="shared" si="158"/>
        <v>-622.66666666666424</v>
      </c>
      <c r="D132" s="160">
        <f t="shared" si="158"/>
        <v>-3309.3333333333339</v>
      </c>
      <c r="E132" s="160"/>
      <c r="F132" s="160">
        <f t="shared" ref="F132:N132" si="159">F113-F$119</f>
        <v>-99768.333333333328</v>
      </c>
      <c r="G132" s="160">
        <f t="shared" si="159"/>
        <v>-36.666666666666657</v>
      </c>
      <c r="H132" s="160">
        <f t="shared" si="159"/>
        <v>-519.16666666666788</v>
      </c>
      <c r="I132" s="160">
        <f t="shared" si="159"/>
        <v>-33152.166666666672</v>
      </c>
      <c r="J132" s="160">
        <f t="shared" si="159"/>
        <v>-857.41666666666697</v>
      </c>
      <c r="K132" s="160">
        <f t="shared" si="159"/>
        <v>159.08333333333348</v>
      </c>
      <c r="L132" s="160">
        <f t="shared" si="159"/>
        <v>-16490</v>
      </c>
      <c r="M132" s="160">
        <f t="shared" si="159"/>
        <v>182.91666666666652</v>
      </c>
      <c r="N132" s="160">
        <f t="shared" si="159"/>
        <v>-3083.0833333333339</v>
      </c>
    </row>
    <row r="133" spans="1:14" x14ac:dyDescent="0.15">
      <c r="A133" s="156" t="str">
        <f t="shared" si="145"/>
        <v>2025-06</v>
      </c>
      <c r="B133" s="160">
        <f t="shared" ref="B133:D133" si="160">B114-B$119</f>
        <v>-36.166666666666629</v>
      </c>
      <c r="C133" s="160">
        <f t="shared" si="160"/>
        <v>5307.3333333333358</v>
      </c>
      <c r="D133" s="160">
        <f t="shared" si="160"/>
        <v>-3717.3333333333339</v>
      </c>
      <c r="E133" s="160"/>
      <c r="F133" s="160">
        <f t="shared" ref="F133:N133" si="161">F114-F$119</f>
        <v>-100656.33333333333</v>
      </c>
      <c r="G133" s="160">
        <f t="shared" si="161"/>
        <v>-26.666666666666657</v>
      </c>
      <c r="H133" s="160">
        <f t="shared" si="161"/>
        <v>-4248.1666666666679</v>
      </c>
      <c r="I133" s="160">
        <f t="shared" si="161"/>
        <v>-65816.166666666672</v>
      </c>
      <c r="J133" s="160">
        <f t="shared" si="161"/>
        <v>-1115.416666666667</v>
      </c>
      <c r="K133" s="160">
        <f t="shared" si="161"/>
        <v>-303.91666666666652</v>
      </c>
      <c r="L133" s="160">
        <f t="shared" si="161"/>
        <v>-16086</v>
      </c>
      <c r="M133" s="160">
        <f t="shared" si="161"/>
        <v>-187.08333333333348</v>
      </c>
      <c r="N133" s="160">
        <f t="shared" si="161"/>
        <v>-2662.0833333333339</v>
      </c>
    </row>
    <row r="134" spans="1:14" x14ac:dyDescent="0.15">
      <c r="A134" s="156" t="str">
        <f t="shared" si="145"/>
        <v>2025-07</v>
      </c>
      <c r="B134" s="160">
        <f t="shared" ref="B134:D134" si="162">B115-B$119</f>
        <v>-11.166666666666629</v>
      </c>
      <c r="C134" s="160">
        <f t="shared" si="162"/>
        <v>-3190.6666666666642</v>
      </c>
      <c r="D134" s="160">
        <f t="shared" si="162"/>
        <v>-3912.3333333333339</v>
      </c>
      <c r="E134" s="160"/>
      <c r="F134" s="160">
        <f t="shared" ref="F134:N134" si="163">F115-F$119</f>
        <v>-102098.33333333333</v>
      </c>
      <c r="G134" s="160">
        <f t="shared" si="163"/>
        <v>-33.666666666666657</v>
      </c>
      <c r="H134" s="160">
        <f t="shared" si="163"/>
        <v>-5915.1666666666679</v>
      </c>
      <c r="I134" s="160">
        <f t="shared" si="163"/>
        <v>-40210.166666666672</v>
      </c>
      <c r="J134" s="160">
        <f t="shared" si="163"/>
        <v>254.58333333333303</v>
      </c>
      <c r="K134" s="160">
        <f t="shared" si="163"/>
        <v>-564.91666666666652</v>
      </c>
      <c r="L134" s="160">
        <f t="shared" si="163"/>
        <v>-16617</v>
      </c>
      <c r="M134" s="160">
        <f t="shared" si="163"/>
        <v>-169.08333333333348</v>
      </c>
      <c r="N134" s="160">
        <f t="shared" si="163"/>
        <v>-998.08333333333394</v>
      </c>
    </row>
    <row r="135" spans="1:14" x14ac:dyDescent="0.15">
      <c r="A135" s="156" t="str">
        <f t="shared" si="145"/>
        <v>2025-08</v>
      </c>
      <c r="B135" s="160">
        <f t="shared" ref="B135:D135" si="164">B116-B$119</f>
        <v>-43.166666666666629</v>
      </c>
      <c r="C135" s="160">
        <f t="shared" si="164"/>
        <v>-5655.6666666666642</v>
      </c>
      <c r="D135" s="160">
        <f t="shared" si="164"/>
        <v>-4106.3333333333339</v>
      </c>
      <c r="E135" s="160"/>
      <c r="F135" s="160">
        <f t="shared" ref="F135:N135" si="165">F116-F$119</f>
        <v>-103524.33333333333</v>
      </c>
      <c r="G135" s="160">
        <f t="shared" si="165"/>
        <v>-61.666666666666657</v>
      </c>
      <c r="H135" s="160">
        <f t="shared" si="165"/>
        <v>-7978.1666666666679</v>
      </c>
      <c r="I135" s="160">
        <f t="shared" si="165"/>
        <v>226543.83333333331</v>
      </c>
      <c r="J135" s="160">
        <f t="shared" si="165"/>
        <v>-847.41666666666697</v>
      </c>
      <c r="K135" s="160">
        <f t="shared" si="165"/>
        <v>-782.91666666666652</v>
      </c>
      <c r="L135" s="160">
        <f t="shared" si="165"/>
        <v>62671</v>
      </c>
      <c r="M135" s="160">
        <f t="shared" si="165"/>
        <v>-232.08333333333348</v>
      </c>
      <c r="N135" s="160">
        <f t="shared" si="165"/>
        <v>12228.916666666666</v>
      </c>
    </row>
    <row r="136" spans="1:14" x14ac:dyDescent="0.15">
      <c r="A136" s="156" t="str">
        <f t="shared" si="145"/>
        <v>2025-09</v>
      </c>
      <c r="B136" s="160">
        <f t="shared" ref="B136:D136" si="166">B117-B$119</f>
        <v>108.83333333333337</v>
      </c>
      <c r="C136" s="160">
        <f t="shared" si="166"/>
        <v>25560.333333333336</v>
      </c>
      <c r="D136" s="160">
        <f t="shared" si="166"/>
        <v>-3729.3333333333339</v>
      </c>
      <c r="E136" s="160"/>
      <c r="F136" s="160">
        <f t="shared" ref="F136:N136" si="167">F117-F$119</f>
        <v>-102062.33333333333</v>
      </c>
      <c r="G136" s="160">
        <f t="shared" si="167"/>
        <v>-20.666666666666657</v>
      </c>
      <c r="H136" s="160">
        <f t="shared" si="167"/>
        <v>16921.833333333332</v>
      </c>
      <c r="I136" s="160">
        <f t="shared" si="167"/>
        <v>353682.83333333331</v>
      </c>
      <c r="J136" s="160">
        <f t="shared" si="167"/>
        <v>9355.5833333333321</v>
      </c>
      <c r="K136" s="160">
        <f t="shared" si="167"/>
        <v>427.08333333333348</v>
      </c>
      <c r="L136" s="160">
        <f t="shared" si="167"/>
        <v>-13141</v>
      </c>
      <c r="M136" s="160">
        <f t="shared" si="167"/>
        <v>375.91666666666652</v>
      </c>
      <c r="N136" s="160">
        <f t="shared" si="167"/>
        <v>685.91666666666606</v>
      </c>
    </row>
    <row r="137" spans="1:14" x14ac:dyDescent="0.15">
      <c r="A137" s="120" t="s">
        <v>11</v>
      </c>
      <c r="B137" s="125">
        <f>SUM(B125:B136)</f>
        <v>4.5474735088646412E-13</v>
      </c>
      <c r="C137" s="125">
        <f t="shared" ref="C137:N137" si="168">SUM(C125:C136)</f>
        <v>2.9103830456733704E-11</v>
      </c>
      <c r="D137" s="125">
        <f t="shared" si="168"/>
        <v>-1.2732925824820995E-11</v>
      </c>
      <c r="E137" s="125"/>
      <c r="F137" s="125">
        <f t="shared" si="168"/>
        <v>0</v>
      </c>
      <c r="G137" s="125">
        <f t="shared" si="168"/>
        <v>1.1368683772161603E-13</v>
      </c>
      <c r="H137" s="125">
        <f t="shared" si="168"/>
        <v>0</v>
      </c>
      <c r="I137" s="125">
        <f t="shared" si="168"/>
        <v>0</v>
      </c>
      <c r="J137" s="125">
        <f t="shared" si="168"/>
        <v>0</v>
      </c>
      <c r="K137" s="125">
        <f t="shared" si="168"/>
        <v>1.8189894035458565E-12</v>
      </c>
      <c r="L137" s="125">
        <f t="shared" si="168"/>
        <v>0</v>
      </c>
      <c r="M137" s="125">
        <f t="shared" si="168"/>
        <v>-1.8189894035458565E-12</v>
      </c>
      <c r="N137" s="125">
        <f t="shared" si="168"/>
        <v>-7.2759576141834259E-12</v>
      </c>
    </row>
    <row r="138" spans="1:14" x14ac:dyDescent="0.15">
      <c r="B138" s="18"/>
      <c r="C138" s="18"/>
      <c r="D138" s="18"/>
      <c r="E138" s="18"/>
      <c r="F138" s="18"/>
      <c r="G138" s="18"/>
      <c r="H138" s="18"/>
      <c r="I138" s="18"/>
      <c r="J138" s="18"/>
      <c r="K138" s="18"/>
      <c r="L138" s="18"/>
      <c r="M138" s="18"/>
      <c r="N138" s="18"/>
    </row>
    <row r="139" spans="1:14" x14ac:dyDescent="0.15">
      <c r="B139" s="378" t="s">
        <v>31</v>
      </c>
      <c r="C139" s="379"/>
      <c r="D139" s="379"/>
      <c r="E139" s="379"/>
      <c r="F139" s="379"/>
      <c r="G139" s="379"/>
      <c r="H139" s="379"/>
      <c r="I139" s="379"/>
      <c r="J139" s="379"/>
      <c r="K139" s="379"/>
      <c r="L139" s="379"/>
      <c r="M139" s="379"/>
    </row>
    <row r="140" spans="1:14" ht="28" x14ac:dyDescent="0.15">
      <c r="A140" s="126" t="s">
        <v>16</v>
      </c>
      <c r="B140" s="161" t="s">
        <v>3</v>
      </c>
      <c r="C140" s="161" t="s">
        <v>4</v>
      </c>
      <c r="D140" s="161" t="s">
        <v>5</v>
      </c>
      <c r="E140" s="161" t="s">
        <v>161</v>
      </c>
      <c r="F140" s="161" t="s">
        <v>6</v>
      </c>
      <c r="G140" s="161" t="s">
        <v>7</v>
      </c>
      <c r="H140" s="161" t="s">
        <v>14</v>
      </c>
      <c r="I140" s="162" t="s">
        <v>114</v>
      </c>
      <c r="J140" s="161" t="s">
        <v>8</v>
      </c>
      <c r="K140" s="161" t="s">
        <v>17</v>
      </c>
      <c r="L140" s="161" t="s">
        <v>9</v>
      </c>
      <c r="M140" s="161" t="s">
        <v>12</v>
      </c>
      <c r="N140" s="161" t="s">
        <v>10</v>
      </c>
    </row>
    <row r="141" spans="1:14" x14ac:dyDescent="0.15">
      <c r="A141" s="156" t="str">
        <f>A125</f>
        <v>2024-10</v>
      </c>
      <c r="B141" s="157"/>
      <c r="C141" s="157"/>
      <c r="D141" s="157"/>
      <c r="E141" s="157"/>
      <c r="F141" s="157"/>
      <c r="G141" s="157"/>
      <c r="H141" s="157"/>
      <c r="I141" s="157"/>
      <c r="J141" s="157"/>
      <c r="K141" s="157"/>
      <c r="L141" s="157"/>
      <c r="M141" s="157"/>
      <c r="N141" s="157"/>
    </row>
    <row r="142" spans="1:14" x14ac:dyDescent="0.15">
      <c r="A142" s="156" t="str">
        <f t="shared" ref="A142:A152" si="169">A126</f>
        <v>2024-11</v>
      </c>
      <c r="B142" s="157">
        <f>B107-B106</f>
        <v>-52</v>
      </c>
      <c r="C142" s="157">
        <f t="shared" ref="C142:D142" si="170">C107-C106</f>
        <v>4748</v>
      </c>
      <c r="D142" s="157">
        <f t="shared" si="170"/>
        <v>97</v>
      </c>
      <c r="E142" s="157"/>
      <c r="F142" s="157">
        <f t="shared" ref="F142:N142" si="171">F107-F106</f>
        <v>7145</v>
      </c>
      <c r="G142" s="157">
        <f t="shared" si="171"/>
        <v>-51</v>
      </c>
      <c r="H142" s="157">
        <f t="shared" si="171"/>
        <v>-913</v>
      </c>
      <c r="I142" s="157">
        <f t="shared" si="171"/>
        <v>-464</v>
      </c>
      <c r="J142" s="157">
        <f t="shared" si="171"/>
        <v>-68</v>
      </c>
      <c r="K142" s="157">
        <f t="shared" si="171"/>
        <v>-100</v>
      </c>
      <c r="L142" s="157">
        <f t="shared" si="171"/>
        <v>-93855</v>
      </c>
      <c r="M142" s="157">
        <f t="shared" si="171"/>
        <v>-316</v>
      </c>
      <c r="N142" s="160">
        <f t="shared" si="171"/>
        <v>-3692</v>
      </c>
    </row>
    <row r="143" spans="1:14" x14ac:dyDescent="0.15">
      <c r="A143" s="156" t="str">
        <f t="shared" si="169"/>
        <v>2024-12</v>
      </c>
      <c r="B143" s="157">
        <f t="shared" ref="B143:D143" si="172">B108-B107</f>
        <v>-27</v>
      </c>
      <c r="C143" s="157">
        <f t="shared" si="172"/>
        <v>-9192</v>
      </c>
      <c r="D143" s="157">
        <f t="shared" si="172"/>
        <v>-844</v>
      </c>
      <c r="E143" s="157"/>
      <c r="F143" s="157">
        <f t="shared" ref="F143:N143" si="173">F108-F107</f>
        <v>36396</v>
      </c>
      <c r="G143" s="157">
        <f t="shared" si="173"/>
        <v>-33</v>
      </c>
      <c r="H143" s="157">
        <f t="shared" si="173"/>
        <v>-3053</v>
      </c>
      <c r="I143" s="157">
        <f t="shared" si="173"/>
        <v>859</v>
      </c>
      <c r="J143" s="157">
        <f t="shared" si="173"/>
        <v>314</v>
      </c>
      <c r="K143" s="157">
        <f t="shared" si="173"/>
        <v>-666</v>
      </c>
      <c r="L143" s="157">
        <f t="shared" si="173"/>
        <v>-17451</v>
      </c>
      <c r="M143" s="157">
        <f t="shared" si="173"/>
        <v>-337</v>
      </c>
      <c r="N143" s="160">
        <f t="shared" si="173"/>
        <v>126</v>
      </c>
    </row>
    <row r="144" spans="1:14" x14ac:dyDescent="0.15">
      <c r="A144" s="156" t="str">
        <f t="shared" si="169"/>
        <v>2025-01</v>
      </c>
      <c r="B144" s="157">
        <f t="shared" ref="B144:D144" si="174">B109-B108</f>
        <v>8</v>
      </c>
      <c r="C144" s="157">
        <f t="shared" si="174"/>
        <v>-2865</v>
      </c>
      <c r="D144" s="157">
        <f t="shared" si="174"/>
        <v>38</v>
      </c>
      <c r="E144" s="157"/>
      <c r="F144" s="157">
        <f t="shared" ref="F144:N144" si="175">F109-F108</f>
        <v>435324</v>
      </c>
      <c r="G144" s="157">
        <f t="shared" si="175"/>
        <v>11</v>
      </c>
      <c r="H144" s="157">
        <f t="shared" si="175"/>
        <v>1053</v>
      </c>
      <c r="I144" s="157">
        <f t="shared" si="175"/>
        <v>512</v>
      </c>
      <c r="J144" s="157">
        <f t="shared" si="175"/>
        <v>-343</v>
      </c>
      <c r="K144" s="157">
        <f t="shared" si="175"/>
        <v>86</v>
      </c>
      <c r="L144" s="157">
        <f t="shared" si="175"/>
        <v>1344</v>
      </c>
      <c r="M144" s="157">
        <f t="shared" si="175"/>
        <v>-64</v>
      </c>
      <c r="N144" s="160">
        <f t="shared" si="175"/>
        <v>1208</v>
      </c>
    </row>
    <row r="145" spans="1:16" x14ac:dyDescent="0.15">
      <c r="A145" s="156" t="str">
        <f t="shared" si="169"/>
        <v>2025-02</v>
      </c>
      <c r="B145" s="157">
        <f t="shared" ref="B145:D145" si="176">B110-B109</f>
        <v>51</v>
      </c>
      <c r="C145" s="157">
        <f t="shared" si="176"/>
        <v>40</v>
      </c>
      <c r="D145" s="157">
        <f t="shared" si="176"/>
        <v>-1865</v>
      </c>
      <c r="E145" s="157"/>
      <c r="F145" s="157">
        <f t="shared" ref="F145:N145" si="177">F110-F109</f>
        <v>148323</v>
      </c>
      <c r="G145" s="157">
        <f t="shared" si="177"/>
        <v>38</v>
      </c>
      <c r="H145" s="157">
        <f t="shared" si="177"/>
        <v>4513</v>
      </c>
      <c r="I145" s="157">
        <f t="shared" si="177"/>
        <v>16820</v>
      </c>
      <c r="J145" s="157">
        <f t="shared" si="177"/>
        <v>212</v>
      </c>
      <c r="K145" s="157">
        <f t="shared" si="177"/>
        <v>425</v>
      </c>
      <c r="L145" s="157">
        <f t="shared" si="177"/>
        <v>1209</v>
      </c>
      <c r="M145" s="157">
        <f t="shared" si="177"/>
        <v>194</v>
      </c>
      <c r="N145" s="160">
        <f t="shared" si="177"/>
        <v>-360</v>
      </c>
    </row>
    <row r="146" spans="1:16" x14ac:dyDescent="0.15">
      <c r="A146" s="156" t="str">
        <f t="shared" si="169"/>
        <v>2025-03</v>
      </c>
      <c r="B146" s="157">
        <f t="shared" ref="B146:D146" si="178">B111-B110</f>
        <v>95</v>
      </c>
      <c r="C146" s="157">
        <f t="shared" si="178"/>
        <v>5918</v>
      </c>
      <c r="D146" s="157">
        <f t="shared" si="178"/>
        <v>-1182</v>
      </c>
      <c r="E146" s="157"/>
      <c r="F146" s="157">
        <f t="shared" ref="F146:N146" si="179">F111-F110</f>
        <v>-636052</v>
      </c>
      <c r="G146" s="157">
        <f t="shared" si="179"/>
        <v>4</v>
      </c>
      <c r="H146" s="157">
        <f t="shared" si="179"/>
        <v>-1762</v>
      </c>
      <c r="I146" s="157">
        <f t="shared" si="179"/>
        <v>-6430</v>
      </c>
      <c r="J146" s="157">
        <f t="shared" si="179"/>
        <v>1090</v>
      </c>
      <c r="K146" s="157">
        <f t="shared" si="179"/>
        <v>629</v>
      </c>
      <c r="L146" s="157">
        <f t="shared" si="179"/>
        <v>-283</v>
      </c>
      <c r="M146" s="157">
        <f t="shared" si="179"/>
        <v>249</v>
      </c>
      <c r="N146" s="160">
        <f t="shared" si="179"/>
        <v>806</v>
      </c>
    </row>
    <row r="147" spans="1:16" x14ac:dyDescent="0.15">
      <c r="A147" s="156" t="str">
        <f t="shared" si="169"/>
        <v>2025-04</v>
      </c>
      <c r="B147" s="157">
        <f t="shared" ref="B147:D147" si="180">B112-B111</f>
        <v>13</v>
      </c>
      <c r="C147" s="157">
        <f t="shared" si="180"/>
        <v>-8205</v>
      </c>
      <c r="D147" s="157">
        <f t="shared" si="180"/>
        <v>-3679</v>
      </c>
      <c r="E147" s="157"/>
      <c r="F147" s="157">
        <f t="shared" ref="F147:N147" si="181">F112-F111</f>
        <v>711</v>
      </c>
      <c r="G147" s="157">
        <f t="shared" si="181"/>
        <v>13</v>
      </c>
      <c r="H147" s="157">
        <f t="shared" si="181"/>
        <v>-1810</v>
      </c>
      <c r="I147" s="157">
        <f t="shared" si="181"/>
        <v>-8537</v>
      </c>
      <c r="J147" s="157">
        <f t="shared" si="181"/>
        <v>-580</v>
      </c>
      <c r="K147" s="157">
        <f t="shared" si="181"/>
        <v>-710</v>
      </c>
      <c r="L147" s="157">
        <f t="shared" si="181"/>
        <v>341</v>
      </c>
      <c r="M147" s="157">
        <f t="shared" si="181"/>
        <v>29</v>
      </c>
      <c r="N147" s="160">
        <f t="shared" si="181"/>
        <v>-1661</v>
      </c>
    </row>
    <row r="148" spans="1:16" x14ac:dyDescent="0.15">
      <c r="A148" s="156" t="str">
        <f t="shared" si="169"/>
        <v>2025-05</v>
      </c>
      <c r="B148" s="157">
        <f t="shared" ref="B148:D148" si="182">B113-B112</f>
        <v>-102</v>
      </c>
      <c r="C148" s="157">
        <f t="shared" si="182"/>
        <v>8393</v>
      </c>
      <c r="D148" s="157">
        <f t="shared" si="182"/>
        <v>-717</v>
      </c>
      <c r="E148" s="157"/>
      <c r="F148" s="157">
        <f t="shared" ref="F148:N148" si="183">F113-F112</f>
        <v>-1385</v>
      </c>
      <c r="G148" s="157">
        <f t="shared" si="183"/>
        <v>-86</v>
      </c>
      <c r="H148" s="157">
        <f t="shared" si="183"/>
        <v>15</v>
      </c>
      <c r="I148" s="157">
        <f t="shared" si="183"/>
        <v>31755</v>
      </c>
      <c r="J148" s="157">
        <f t="shared" si="183"/>
        <v>-223</v>
      </c>
      <c r="K148" s="157">
        <f t="shared" si="183"/>
        <v>91</v>
      </c>
      <c r="L148" s="157">
        <f t="shared" si="183"/>
        <v>595</v>
      </c>
      <c r="M148" s="157">
        <f t="shared" si="183"/>
        <v>34</v>
      </c>
      <c r="N148" s="160">
        <f t="shared" si="183"/>
        <v>-1174</v>
      </c>
    </row>
    <row r="149" spans="1:16" x14ac:dyDescent="0.15">
      <c r="A149" s="156" t="str">
        <f t="shared" si="169"/>
        <v>2025-06</v>
      </c>
      <c r="B149" s="157">
        <f t="shared" ref="B149:D149" si="184">B114-B113</f>
        <v>-29</v>
      </c>
      <c r="C149" s="157">
        <f t="shared" si="184"/>
        <v>5930</v>
      </c>
      <c r="D149" s="157">
        <f t="shared" si="184"/>
        <v>-408</v>
      </c>
      <c r="E149" s="157"/>
      <c r="F149" s="157">
        <f t="shared" ref="F149:N149" si="185">F114-F113</f>
        <v>-888</v>
      </c>
      <c r="G149" s="157">
        <f t="shared" si="185"/>
        <v>10</v>
      </c>
      <c r="H149" s="157">
        <f t="shared" si="185"/>
        <v>-3729</v>
      </c>
      <c r="I149" s="157">
        <f t="shared" si="185"/>
        <v>-32664</v>
      </c>
      <c r="J149" s="157">
        <f t="shared" si="185"/>
        <v>-258</v>
      </c>
      <c r="K149" s="157">
        <f t="shared" si="185"/>
        <v>-463</v>
      </c>
      <c r="L149" s="157">
        <f t="shared" si="185"/>
        <v>404</v>
      </c>
      <c r="M149" s="157">
        <f t="shared" si="185"/>
        <v>-370</v>
      </c>
      <c r="N149" s="160">
        <f t="shared" si="185"/>
        <v>421</v>
      </c>
    </row>
    <row r="150" spans="1:16" x14ac:dyDescent="0.15">
      <c r="A150" s="156" t="str">
        <f t="shared" si="169"/>
        <v>2025-07</v>
      </c>
      <c r="B150" s="157">
        <f t="shared" ref="B150:D150" si="186">B115-B114</f>
        <v>25</v>
      </c>
      <c r="C150" s="157">
        <f t="shared" si="186"/>
        <v>-8498</v>
      </c>
      <c r="D150" s="157">
        <f t="shared" si="186"/>
        <v>-195</v>
      </c>
      <c r="E150" s="157"/>
      <c r="F150" s="157">
        <f t="shared" ref="F150:N150" si="187">F115-F114</f>
        <v>-1442</v>
      </c>
      <c r="G150" s="157">
        <f t="shared" si="187"/>
        <v>-7</v>
      </c>
      <c r="H150" s="157">
        <f t="shared" si="187"/>
        <v>-1667</v>
      </c>
      <c r="I150" s="157">
        <f t="shared" si="187"/>
        <v>25606</v>
      </c>
      <c r="J150" s="157">
        <f t="shared" si="187"/>
        <v>1370</v>
      </c>
      <c r="K150" s="157">
        <f t="shared" si="187"/>
        <v>-261</v>
      </c>
      <c r="L150" s="157">
        <f t="shared" si="187"/>
        <v>-531</v>
      </c>
      <c r="M150" s="157">
        <f t="shared" si="187"/>
        <v>18</v>
      </c>
      <c r="N150" s="160">
        <f t="shared" si="187"/>
        <v>1664</v>
      </c>
    </row>
    <row r="151" spans="1:16" x14ac:dyDescent="0.15">
      <c r="A151" s="156" t="str">
        <f t="shared" si="169"/>
        <v>2025-08</v>
      </c>
      <c r="B151" s="157">
        <f t="shared" ref="B151:D151" si="188">B116-B115</f>
        <v>-32</v>
      </c>
      <c r="C151" s="157">
        <f t="shared" si="188"/>
        <v>-2465</v>
      </c>
      <c r="D151" s="157">
        <f t="shared" si="188"/>
        <v>-194</v>
      </c>
      <c r="E151" s="157"/>
      <c r="F151" s="157">
        <f t="shared" ref="F151:N151" si="189">F116-F115</f>
        <v>-1426</v>
      </c>
      <c r="G151" s="157">
        <f t="shared" si="189"/>
        <v>-28</v>
      </c>
      <c r="H151" s="157">
        <f t="shared" si="189"/>
        <v>-2063</v>
      </c>
      <c r="I151" s="157">
        <f t="shared" si="189"/>
        <v>266754</v>
      </c>
      <c r="J151" s="157">
        <f t="shared" si="189"/>
        <v>-1102</v>
      </c>
      <c r="K151" s="157">
        <f t="shared" si="189"/>
        <v>-218</v>
      </c>
      <c r="L151" s="157">
        <f t="shared" si="189"/>
        <v>79288</v>
      </c>
      <c r="M151" s="157">
        <f t="shared" si="189"/>
        <v>-63</v>
      </c>
      <c r="N151" s="160">
        <f t="shared" si="189"/>
        <v>13227</v>
      </c>
    </row>
    <row r="152" spans="1:16" x14ac:dyDescent="0.15">
      <c r="A152" s="156" t="str">
        <f t="shared" si="169"/>
        <v>2025-09</v>
      </c>
      <c r="B152" s="157">
        <f t="shared" ref="B152:D152" si="190">B117-B116</f>
        <v>152</v>
      </c>
      <c r="C152" s="157">
        <f t="shared" si="190"/>
        <v>31216</v>
      </c>
      <c r="D152" s="157">
        <f t="shared" si="190"/>
        <v>377</v>
      </c>
      <c r="E152" s="157"/>
      <c r="F152" s="157">
        <f t="shared" ref="F152:N152" si="191">F117-F116</f>
        <v>1462</v>
      </c>
      <c r="G152" s="157">
        <f t="shared" si="191"/>
        <v>41</v>
      </c>
      <c r="H152" s="157">
        <f t="shared" si="191"/>
        <v>24900</v>
      </c>
      <c r="I152" s="157">
        <f t="shared" si="191"/>
        <v>127139</v>
      </c>
      <c r="J152" s="157">
        <f t="shared" si="191"/>
        <v>10203</v>
      </c>
      <c r="K152" s="157">
        <f t="shared" si="191"/>
        <v>1210</v>
      </c>
      <c r="L152" s="157">
        <f t="shared" si="191"/>
        <v>-75812</v>
      </c>
      <c r="M152" s="157">
        <f t="shared" si="191"/>
        <v>608</v>
      </c>
      <c r="N152" s="160">
        <f t="shared" si="191"/>
        <v>-11543</v>
      </c>
    </row>
    <row r="155" spans="1:16" ht="12.75" customHeight="1" x14ac:dyDescent="0.15">
      <c r="A155" s="384" t="s">
        <v>44</v>
      </c>
      <c r="B155" s="385"/>
      <c r="C155" s="385"/>
      <c r="D155" s="385"/>
      <c r="E155" s="385"/>
      <c r="F155" s="385"/>
      <c r="G155" s="385"/>
      <c r="H155" s="385"/>
      <c r="I155" s="385"/>
      <c r="J155" s="385"/>
      <c r="K155" s="385"/>
      <c r="L155" s="385"/>
      <c r="M155" s="385"/>
    </row>
    <row r="156" spans="1:16" ht="28" x14ac:dyDescent="0.15">
      <c r="A156" s="30" t="s">
        <v>47</v>
      </c>
      <c r="B156" s="22" t="s">
        <v>3</v>
      </c>
      <c r="C156" s="22" t="s">
        <v>4</v>
      </c>
      <c r="D156" s="22" t="s">
        <v>5</v>
      </c>
      <c r="E156" s="250" t="s">
        <v>161</v>
      </c>
      <c r="F156" s="22" t="s">
        <v>6</v>
      </c>
      <c r="G156" s="22" t="s">
        <v>7</v>
      </c>
      <c r="H156" s="22" t="s">
        <v>14</v>
      </c>
      <c r="I156" s="23" t="s">
        <v>114</v>
      </c>
      <c r="J156" s="22" t="s">
        <v>8</v>
      </c>
      <c r="K156" s="46" t="s">
        <v>17</v>
      </c>
      <c r="L156" s="22" t="s">
        <v>9</v>
      </c>
      <c r="M156" s="22" t="s">
        <v>12</v>
      </c>
      <c r="N156" s="22" t="s">
        <v>10</v>
      </c>
      <c r="O156" s="95" t="s">
        <v>46</v>
      </c>
      <c r="P156" s="28"/>
    </row>
    <row r="157" spans="1:16" x14ac:dyDescent="0.15">
      <c r="A157" s="164" t="s">
        <v>37</v>
      </c>
      <c r="B157" s="117">
        <v>1828.7103789062501</v>
      </c>
      <c r="C157" s="117">
        <v>255.6104873046875</v>
      </c>
      <c r="D157" s="117"/>
      <c r="E157" s="168"/>
      <c r="F157" s="117">
        <v>219.88722949218749</v>
      </c>
      <c r="G157" s="117">
        <v>3.435041015625</v>
      </c>
      <c r="H157" s="117">
        <v>1761.525625</v>
      </c>
      <c r="I157" s="117">
        <v>180.68916015625001</v>
      </c>
      <c r="J157" s="117">
        <v>125.360509765625</v>
      </c>
      <c r="K157" s="117"/>
      <c r="L157" s="117"/>
      <c r="M157" s="117">
        <v>21.843390625000001</v>
      </c>
      <c r="N157" s="117"/>
      <c r="O157" s="117">
        <f t="shared" ref="O157:O169" si="192">SUM(B157:N157)</f>
        <v>4397.0618222656249</v>
      </c>
      <c r="P157" s="17"/>
    </row>
    <row r="158" spans="1:16" x14ac:dyDescent="0.15">
      <c r="A158" s="165" t="s">
        <v>38</v>
      </c>
      <c r="B158" s="117">
        <v>2359.018</v>
      </c>
      <c r="C158" s="117">
        <v>376.68700000000001</v>
      </c>
      <c r="D158" s="117"/>
      <c r="E158" s="168"/>
      <c r="F158" s="117">
        <v>317.83100000000002</v>
      </c>
      <c r="G158" s="117">
        <v>5.3330000000000002</v>
      </c>
      <c r="H158" s="117">
        <v>759.51099999999997</v>
      </c>
      <c r="I158" s="117">
        <v>392.52600000000001</v>
      </c>
      <c r="J158" s="117">
        <v>63.571999999999996</v>
      </c>
      <c r="K158" s="117"/>
      <c r="L158" s="117">
        <v>0.38700000000000001</v>
      </c>
      <c r="M158" s="117">
        <v>29.620999999999999</v>
      </c>
      <c r="N158" s="117"/>
      <c r="O158" s="117">
        <f t="shared" si="192"/>
        <v>4304.4859999999999</v>
      </c>
      <c r="P158" s="17"/>
    </row>
    <row r="159" spans="1:16" x14ac:dyDescent="0.15">
      <c r="A159" s="165" t="s">
        <v>39</v>
      </c>
      <c r="B159" s="117">
        <v>2082.8297632890626</v>
      </c>
      <c r="C159" s="117">
        <v>448.4706982421875</v>
      </c>
      <c r="D159" s="117"/>
      <c r="E159" s="168"/>
      <c r="F159" s="117">
        <v>381.539158203125</v>
      </c>
      <c r="G159" s="117">
        <v>6.8242343749999996</v>
      </c>
      <c r="H159" s="117">
        <v>822.25268164062504</v>
      </c>
      <c r="I159" s="117">
        <v>768.33581738281248</v>
      </c>
      <c r="J159" s="117">
        <v>66.057981445312507</v>
      </c>
      <c r="K159" s="117"/>
      <c r="L159" s="117">
        <v>0.41019058227539062</v>
      </c>
      <c r="M159" s="117">
        <v>32.902135742187497</v>
      </c>
      <c r="N159" s="117">
        <v>2.722111328125</v>
      </c>
      <c r="O159" s="117">
        <f t="shared" si="192"/>
        <v>4612.3447722307128</v>
      </c>
      <c r="P159" s="17"/>
    </row>
    <row r="160" spans="1:16" ht="14" x14ac:dyDescent="0.15">
      <c r="A160" s="166" t="s">
        <v>40</v>
      </c>
      <c r="B160" s="117">
        <v>1780.1082324218751</v>
      </c>
      <c r="C160" s="117">
        <v>1801.57</v>
      </c>
      <c r="D160" s="117">
        <v>6.03</v>
      </c>
      <c r="E160" s="168"/>
      <c r="F160" s="117">
        <v>422.22720703124997</v>
      </c>
      <c r="G160" s="117">
        <v>6.4231972656250003</v>
      </c>
      <c r="H160" s="117">
        <v>898.95026074218754</v>
      </c>
      <c r="I160" s="117">
        <v>882.08933593749998</v>
      </c>
      <c r="J160" s="117">
        <v>64.431476562499995</v>
      </c>
      <c r="K160" s="117"/>
      <c r="L160" s="117">
        <v>4.6073242187500002E-2</v>
      </c>
      <c r="M160" s="117">
        <v>36.163331054687497</v>
      </c>
      <c r="N160" s="117">
        <v>2.8863720703125</v>
      </c>
      <c r="O160" s="117">
        <f t="shared" si="192"/>
        <v>5900.925486328124</v>
      </c>
      <c r="P160" s="17"/>
    </row>
    <row r="161" spans="1:28" ht="14" x14ac:dyDescent="0.15">
      <c r="A161" s="166" t="s">
        <v>41</v>
      </c>
      <c r="B161" s="117">
        <v>2167.0134765624998</v>
      </c>
      <c r="C161" s="117">
        <v>2654.908486328125</v>
      </c>
      <c r="D161" s="117">
        <v>6.74</v>
      </c>
      <c r="E161" s="168"/>
      <c r="F161" s="117">
        <v>515.71818359375004</v>
      </c>
      <c r="G161" s="117">
        <v>7.0876269531249996</v>
      </c>
      <c r="H161" s="117">
        <v>954.17966796874998</v>
      </c>
      <c r="I161" s="117">
        <v>1159.65796875</v>
      </c>
      <c r="J161" s="117">
        <v>63.890546874999998</v>
      </c>
      <c r="K161" s="117"/>
      <c r="L161" s="117">
        <v>0.615234375</v>
      </c>
      <c r="M161" s="117">
        <v>41.469843750000003</v>
      </c>
      <c r="N161" s="117">
        <v>3.3079492187500001</v>
      </c>
      <c r="O161" s="117">
        <f t="shared" si="192"/>
        <v>7574.5889843750001</v>
      </c>
      <c r="P161" s="17"/>
    </row>
    <row r="162" spans="1:28" ht="14" x14ac:dyDescent="0.15">
      <c r="A162" s="166" t="s">
        <v>42</v>
      </c>
      <c r="B162" s="117">
        <v>2806.56</v>
      </c>
      <c r="C162" s="117">
        <v>3597.0542089843748</v>
      </c>
      <c r="D162" s="117">
        <v>7.9962792968749996</v>
      </c>
      <c r="E162" s="168"/>
      <c r="F162" s="117">
        <v>668.55621093750005</v>
      </c>
      <c r="G162" s="117">
        <v>9.5370605468750007</v>
      </c>
      <c r="H162" s="117">
        <v>1066.3169921875001</v>
      </c>
      <c r="I162" s="117">
        <v>1543.9236425781251</v>
      </c>
      <c r="J162" s="117">
        <v>108.343125</v>
      </c>
      <c r="K162" s="117"/>
      <c r="L162" s="117">
        <v>143.19999999999999</v>
      </c>
      <c r="M162" s="117">
        <v>44.454013671875003</v>
      </c>
      <c r="N162" s="117">
        <v>3.3409765624999999</v>
      </c>
      <c r="O162" s="117">
        <f t="shared" si="192"/>
        <v>9999.2825097656259</v>
      </c>
      <c r="P162" s="17"/>
    </row>
    <row r="163" spans="1:28" ht="14" x14ac:dyDescent="0.15">
      <c r="A163" s="199" t="s">
        <v>43</v>
      </c>
      <c r="B163" s="117">
        <v>3268.5614688254918</v>
      </c>
      <c r="C163" s="117">
        <v>1486.062054989158</v>
      </c>
      <c r="D163" s="117">
        <v>11.422000000000001</v>
      </c>
      <c r="E163" s="168"/>
      <c r="F163" s="117">
        <v>775.30918685094673</v>
      </c>
      <c r="G163" s="117">
        <v>8.8079055354310096</v>
      </c>
      <c r="H163" s="117">
        <v>1131.1058336851804</v>
      </c>
      <c r="I163" s="117">
        <v>2298.7438358583699</v>
      </c>
      <c r="J163" s="117">
        <v>121.28570499155356</v>
      </c>
      <c r="K163" s="117"/>
      <c r="L163" s="117">
        <v>175.490234375</v>
      </c>
      <c r="M163" s="117">
        <v>54.879029105307303</v>
      </c>
      <c r="N163" s="117">
        <v>3.3594172669090723</v>
      </c>
      <c r="O163" s="117">
        <f t="shared" si="192"/>
        <v>9335.0266714833451</v>
      </c>
      <c r="P163" s="17"/>
    </row>
    <row r="164" spans="1:28" ht="14" x14ac:dyDescent="0.15">
      <c r="A164" s="166" t="s">
        <v>45</v>
      </c>
      <c r="B164" s="117">
        <v>3475</v>
      </c>
      <c r="C164" s="117">
        <v>2136.66015625</v>
      </c>
      <c r="D164" s="117">
        <v>13.209765624999999</v>
      </c>
      <c r="E164" s="168"/>
      <c r="F164" s="117">
        <v>1161.8378222656249</v>
      </c>
      <c r="G164" s="117">
        <v>9.8950976562499999</v>
      </c>
      <c r="H164" s="117">
        <v>2468.4033984375001</v>
      </c>
      <c r="I164" s="117">
        <v>5265.4695996093751</v>
      </c>
      <c r="J164" s="117">
        <v>177.02448242187498</v>
      </c>
      <c r="K164" s="117"/>
      <c r="L164" s="117">
        <v>183.447265625</v>
      </c>
      <c r="M164" s="117">
        <v>89.562392578125014</v>
      </c>
      <c r="N164" s="117">
        <v>3.3659960937500002</v>
      </c>
      <c r="O164" s="117">
        <f t="shared" si="192"/>
        <v>14983.875976562502</v>
      </c>
      <c r="P164" s="17"/>
    </row>
    <row r="165" spans="1:28" ht="14" x14ac:dyDescent="0.15">
      <c r="A165" s="167" t="s">
        <v>72</v>
      </c>
      <c r="B165" s="168">
        <v>4159.7939453125</v>
      </c>
      <c r="C165" s="168">
        <v>2656.0791894531249</v>
      </c>
      <c r="D165" s="168">
        <v>17.5</v>
      </c>
      <c r="E165" s="168"/>
      <c r="F165" s="168">
        <v>1425.640654296875</v>
      </c>
      <c r="G165" s="168">
        <v>13.584150390625</v>
      </c>
      <c r="H165" s="168">
        <v>2933.262939453125</v>
      </c>
      <c r="I165" s="168">
        <v>6075.106201171875</v>
      </c>
      <c r="J165" s="168">
        <v>277.42061523437502</v>
      </c>
      <c r="K165" s="168"/>
      <c r="L165" s="168">
        <v>197.0810546875</v>
      </c>
      <c r="M165" s="168">
        <v>164.003359375</v>
      </c>
      <c r="N165" s="168">
        <v>3.7205468750000001</v>
      </c>
      <c r="O165" s="117">
        <f t="shared" si="192"/>
        <v>17923.192656250001</v>
      </c>
      <c r="P165" s="17"/>
    </row>
    <row r="166" spans="1:28" ht="14" x14ac:dyDescent="0.15">
      <c r="A166" s="167" t="s">
        <v>84</v>
      </c>
      <c r="B166" s="168">
        <v>4179.5</v>
      </c>
      <c r="C166" s="168">
        <v>5230.0020340442661</v>
      </c>
      <c r="D166" s="168">
        <v>20.16</v>
      </c>
      <c r="E166" s="168"/>
      <c r="F166" s="168">
        <v>1682.9938281249999</v>
      </c>
      <c r="G166" s="168">
        <v>16.097031250000001</v>
      </c>
      <c r="H166" s="168">
        <v>3104.99</v>
      </c>
      <c r="I166" s="168">
        <v>5817.7347851562499</v>
      </c>
      <c r="J166" s="168">
        <v>428.189697265625</v>
      </c>
      <c r="K166" s="168">
        <v>3445.9434108734131</v>
      </c>
      <c r="L166" s="168">
        <v>202.5</v>
      </c>
      <c r="M166" s="168">
        <v>245.70528320312502</v>
      </c>
      <c r="N166" s="168">
        <v>3.88087890625</v>
      </c>
      <c r="O166" s="117">
        <f t="shared" si="192"/>
        <v>24377.69694882393</v>
      </c>
      <c r="P166" s="17"/>
    </row>
    <row r="167" spans="1:28" ht="14" x14ac:dyDescent="0.15">
      <c r="A167" s="167" t="s">
        <v>91</v>
      </c>
      <c r="B167" s="168">
        <v>5008.96</v>
      </c>
      <c r="C167" s="168">
        <v>6550.8367006601075</v>
      </c>
      <c r="D167" s="168">
        <v>16.437886757196779</v>
      </c>
      <c r="E167" s="168"/>
      <c r="F167" s="168">
        <v>2098.7129058316209</v>
      </c>
      <c r="G167" s="168">
        <v>27.6</v>
      </c>
      <c r="H167" s="168">
        <v>3005.56</v>
      </c>
      <c r="I167" s="168">
        <v>5239.0061333785934</v>
      </c>
      <c r="J167" s="168">
        <v>619.30999999999995</v>
      </c>
      <c r="K167" s="168">
        <v>4931.5839999999998</v>
      </c>
      <c r="L167" s="168">
        <v>203.05</v>
      </c>
      <c r="M167" s="168">
        <v>314.8735548427951</v>
      </c>
      <c r="N167" s="168">
        <v>6.3339475886841603</v>
      </c>
      <c r="O167" s="117">
        <f t="shared" si="192"/>
        <v>28022.265129058993</v>
      </c>
      <c r="P167" s="17"/>
    </row>
    <row r="168" spans="1:28" ht="14" x14ac:dyDescent="0.15">
      <c r="A168" s="245" t="s">
        <v>115</v>
      </c>
      <c r="B168" s="248">
        <v>5554.9</v>
      </c>
      <c r="C168" s="248">
        <v>9657.3361523437507</v>
      </c>
      <c r="D168" s="248">
        <v>30.91</v>
      </c>
      <c r="E168" s="248"/>
      <c r="F168" s="248">
        <v>2478.9318164062502</v>
      </c>
      <c r="G168" s="248">
        <v>32.299999999999997</v>
      </c>
      <c r="H168" s="248">
        <v>3322.23</v>
      </c>
      <c r="I168" s="248">
        <v>6965.8571582031254</v>
      </c>
      <c r="J168" s="248">
        <v>1058.0313964843749</v>
      </c>
      <c r="K168" s="248">
        <v>4577.28</v>
      </c>
      <c r="L168" s="248">
        <v>260.52</v>
      </c>
      <c r="M168" s="248">
        <v>456.55</v>
      </c>
      <c r="N168" s="248">
        <v>7.0993457031249996</v>
      </c>
      <c r="O168" s="117">
        <f t="shared" si="192"/>
        <v>34401.945869140618</v>
      </c>
      <c r="P168" s="17"/>
    </row>
    <row r="169" spans="1:28" ht="14" x14ac:dyDescent="0.15">
      <c r="A169" s="245" t="s">
        <v>143</v>
      </c>
      <c r="B169" s="248">
        <v>5691.55</v>
      </c>
      <c r="C169" s="248">
        <v>12023.376552734375</v>
      </c>
      <c r="D169" s="248">
        <v>38.22</v>
      </c>
      <c r="E169" s="248"/>
      <c r="F169" s="248">
        <v>3240.997275390625</v>
      </c>
      <c r="G169" s="248">
        <v>43.3</v>
      </c>
      <c r="H169" s="248">
        <v>5008.8744433593747</v>
      </c>
      <c r="I169" s="248">
        <v>10907.8874609375</v>
      </c>
      <c r="J169" s="248">
        <v>1393.63</v>
      </c>
      <c r="K169" s="248">
        <v>3416.1539746093749</v>
      </c>
      <c r="L169" s="248">
        <v>418.81</v>
      </c>
      <c r="M169" s="248">
        <v>672.48</v>
      </c>
      <c r="N169" s="248">
        <v>9.8629492187499999</v>
      </c>
      <c r="O169" s="117">
        <f t="shared" si="192"/>
        <v>42865.142656249998</v>
      </c>
      <c r="P169" s="17"/>
    </row>
    <row r="170" spans="1:28" ht="14" x14ac:dyDescent="0.15">
      <c r="A170" s="245" t="s">
        <v>147</v>
      </c>
      <c r="B170" s="248">
        <v>6517.67</v>
      </c>
      <c r="C170" s="248">
        <v>17521.439999999999</v>
      </c>
      <c r="D170" s="248">
        <v>51.2</v>
      </c>
      <c r="E170" s="248"/>
      <c r="F170" s="248">
        <v>4080.5473339843752</v>
      </c>
      <c r="G170" s="248">
        <v>67.960849609375003</v>
      </c>
      <c r="H170" s="248">
        <v>7258.2962304687508</v>
      </c>
      <c r="I170" s="248">
        <v>16560.643476562502</v>
      </c>
      <c r="J170" s="248">
        <v>2348.3197167968751</v>
      </c>
      <c r="K170" s="248">
        <v>4200.9305859374999</v>
      </c>
      <c r="L170" s="248">
        <v>665.50272460937504</v>
      </c>
      <c r="M170" s="248">
        <v>1376.2587890625</v>
      </c>
      <c r="N170" s="248">
        <v>10.573564453125</v>
      </c>
      <c r="O170" s="168">
        <v>60659.34327148438</v>
      </c>
      <c r="P170" s="17"/>
    </row>
    <row r="171" spans="1:28" ht="14" x14ac:dyDescent="0.15">
      <c r="A171" s="245" t="s">
        <v>159</v>
      </c>
      <c r="B171" s="248">
        <v>7064.0329882812503</v>
      </c>
      <c r="C171" s="248">
        <v>16138.00728</v>
      </c>
      <c r="D171" s="248">
        <v>67.387324218749995</v>
      </c>
      <c r="E171" s="248"/>
      <c r="F171" s="248">
        <v>5545.7002050781257</v>
      </c>
      <c r="G171" s="248">
        <v>84.354914600000001</v>
      </c>
      <c r="H171" s="248">
        <v>12406.71533203125</v>
      </c>
      <c r="I171" s="248">
        <v>19751.726464843749</v>
      </c>
      <c r="J171" s="248">
        <v>3211.5</v>
      </c>
      <c r="K171" s="248">
        <v>5921.1186425781252</v>
      </c>
      <c r="L171" s="248">
        <v>1102.298369140625</v>
      </c>
      <c r="M171" s="248">
        <v>1950.7139941406249</v>
      </c>
      <c r="N171" s="248">
        <v>12.40453125</v>
      </c>
      <c r="O171" s="117">
        <v>73255.960046162494</v>
      </c>
      <c r="P171" s="28"/>
      <c r="Q171" s="17"/>
      <c r="R171" s="17"/>
      <c r="S171" s="17"/>
      <c r="T171" s="17"/>
      <c r="U171" s="17"/>
      <c r="V171" s="17"/>
      <c r="W171" s="17"/>
      <c r="X171" s="17"/>
      <c r="Y171" s="17"/>
      <c r="Z171" s="17"/>
      <c r="AA171" s="17"/>
      <c r="AB171" s="17"/>
    </row>
    <row r="172" spans="1:28" ht="14" x14ac:dyDescent="0.15">
      <c r="A172" s="245" t="s">
        <v>162</v>
      </c>
      <c r="B172" s="248">
        <v>7605.0923469815816</v>
      </c>
      <c r="C172" s="248">
        <v>23736.578129381018</v>
      </c>
      <c r="D172" s="248">
        <v>128.66999999999999</v>
      </c>
      <c r="E172" s="248">
        <v>5126.3105446458203</v>
      </c>
      <c r="F172" s="248">
        <v>7966.1352528699899</v>
      </c>
      <c r="G172" s="248">
        <v>94.284330360544914</v>
      </c>
      <c r="H172" s="248">
        <v>17582.366046578623</v>
      </c>
      <c r="I172" s="248">
        <v>26694.596921561242</v>
      </c>
      <c r="J172" s="248">
        <v>4758.75</v>
      </c>
      <c r="K172" s="248">
        <v>7868.2403372348244</v>
      </c>
      <c r="L172" s="248">
        <v>518.50370060794432</v>
      </c>
      <c r="M172" s="248">
        <v>2858.0539166191502</v>
      </c>
      <c r="N172" s="248">
        <v>13.897314528922754</v>
      </c>
      <c r="O172" s="168">
        <v>104951.47884136965</v>
      </c>
      <c r="P172" s="28"/>
      <c r="Q172" s="17"/>
      <c r="R172" s="17"/>
      <c r="S172" s="17"/>
      <c r="T172" s="17"/>
      <c r="U172" s="17"/>
      <c r="V172" s="17"/>
      <c r="W172" s="17"/>
      <c r="X172" s="17"/>
      <c r="Y172" s="17"/>
      <c r="Z172" s="17"/>
      <c r="AA172" s="17"/>
      <c r="AB172" s="17"/>
    </row>
    <row r="173" spans="1:28" ht="14" x14ac:dyDescent="0.15">
      <c r="A173" s="245" t="s">
        <v>167</v>
      </c>
      <c r="B173" s="248">
        <v>8582.9765136718743</v>
      </c>
      <c r="C173" s="248">
        <v>34127.025937500002</v>
      </c>
      <c r="D173" s="248">
        <v>122.81677734375</v>
      </c>
      <c r="E173" s="248">
        <v>10396.082177734375</v>
      </c>
      <c r="F173" s="248">
        <v>11594.0864453125</v>
      </c>
      <c r="G173" s="248">
        <v>424.31471679687502</v>
      </c>
      <c r="H173" s="248">
        <v>21692.867177734377</v>
      </c>
      <c r="I173" s="248">
        <v>30996.539052734377</v>
      </c>
      <c r="J173" s="248">
        <v>6824.95</v>
      </c>
      <c r="K173" s="248">
        <v>7809.4357421875002</v>
      </c>
      <c r="L173" s="248">
        <v>630.78865234374996</v>
      </c>
      <c r="M173" s="248">
        <v>11245.461728515626</v>
      </c>
      <c r="N173" s="248">
        <v>15.885292968750001</v>
      </c>
      <c r="O173" s="168">
        <v>144463.23021484376</v>
      </c>
      <c r="P173" s="28"/>
      <c r="Q173" s="17"/>
      <c r="R173" s="17"/>
      <c r="S173" s="17"/>
      <c r="T173" s="17"/>
      <c r="U173" s="17"/>
      <c r="V173" s="17"/>
      <c r="W173" s="17"/>
      <c r="X173" s="17"/>
      <c r="Y173" s="17"/>
      <c r="Z173" s="17"/>
      <c r="AA173" s="17"/>
      <c r="AB173" s="17"/>
    </row>
    <row r="174" spans="1:28" x14ac:dyDescent="0.15">
      <c r="A174" s="316" t="s">
        <v>209</v>
      </c>
      <c r="B174" s="278">
        <v>11572.795703125001</v>
      </c>
      <c r="C174" s="278">
        <v>43735.495693359378</v>
      </c>
      <c r="D174" s="278">
        <v>139.74819335937499</v>
      </c>
      <c r="E174" s="278">
        <v>14610.067177734374</v>
      </c>
      <c r="F174" s="278">
        <v>13464.434580078127</v>
      </c>
      <c r="G174" s="278">
        <v>491.69114257812498</v>
      </c>
      <c r="H174" s="278">
        <v>24844.800576171878</v>
      </c>
      <c r="I174" s="278">
        <v>34413.696064453128</v>
      </c>
      <c r="J174" s="278">
        <v>8941.1736328124989</v>
      </c>
      <c r="K174" s="278">
        <v>8363.0679296875005</v>
      </c>
      <c r="L174" s="278">
        <v>798.90957031250002</v>
      </c>
      <c r="M174" s="278">
        <v>21625.814306640626</v>
      </c>
      <c r="N174" s="278">
        <v>15.893154296875</v>
      </c>
      <c r="O174" s="117">
        <f>SUM(B174:N174)</f>
        <v>183017.58772460942</v>
      </c>
    </row>
    <row r="175" spans="1:28" ht="12.75" customHeight="1" x14ac:dyDescent="0.15">
      <c r="A175" s="382" t="s">
        <v>48</v>
      </c>
      <c r="B175" s="383"/>
      <c r="C175" s="383"/>
      <c r="D175" s="383"/>
      <c r="E175" s="383"/>
      <c r="F175" s="383"/>
      <c r="G175" s="383"/>
      <c r="H175" s="383"/>
      <c r="I175"/>
    </row>
    <row r="176" spans="1:28" s="269" customFormat="1" ht="14" x14ac:dyDescent="0.15">
      <c r="A176" s="264" t="s">
        <v>36</v>
      </c>
      <c r="B176" s="265" t="s">
        <v>3</v>
      </c>
      <c r="C176" s="265" t="s">
        <v>4</v>
      </c>
      <c r="D176" s="265" t="s">
        <v>5</v>
      </c>
      <c r="E176" s="266" t="s">
        <v>161</v>
      </c>
      <c r="F176" s="265" t="s">
        <v>49</v>
      </c>
      <c r="G176" s="265" t="s">
        <v>7</v>
      </c>
      <c r="H176" s="265" t="s">
        <v>14</v>
      </c>
      <c r="I176" s="265" t="s">
        <v>114</v>
      </c>
      <c r="J176" s="265" t="s">
        <v>8</v>
      </c>
      <c r="K176" s="267" t="s">
        <v>17</v>
      </c>
      <c r="L176" s="265" t="s">
        <v>9</v>
      </c>
      <c r="M176" s="265" t="s">
        <v>12</v>
      </c>
      <c r="N176" s="265" t="s">
        <v>10</v>
      </c>
      <c r="O176" s="268"/>
      <c r="P176" s="268"/>
      <c r="Q176" s="268"/>
      <c r="R176" s="268"/>
      <c r="S176" s="268"/>
      <c r="T176" s="268"/>
      <c r="U176" s="268"/>
      <c r="V176" s="268"/>
      <c r="W176" s="268"/>
      <c r="X176" s="268"/>
    </row>
    <row r="177" spans="1:24" s="269" customFormat="1" ht="14" x14ac:dyDescent="0.15">
      <c r="A177" s="270" t="s">
        <v>37</v>
      </c>
      <c r="B177" s="271">
        <v>2.6576141684055352E-3</v>
      </c>
      <c r="C177" s="271">
        <v>4.2850024912805179E-2</v>
      </c>
      <c r="D177" s="271"/>
      <c r="E177" s="272"/>
      <c r="F177" s="271">
        <v>0.16945548561694312</v>
      </c>
      <c r="G177" s="271"/>
      <c r="H177" s="271">
        <v>3.6466484818673699E-2</v>
      </c>
      <c r="I177" s="271">
        <v>0.37612140147288553</v>
      </c>
      <c r="J177" s="271">
        <v>2.2101237652255103E-2</v>
      </c>
      <c r="K177" s="271"/>
      <c r="L177" s="271">
        <v>0.20388598818796541</v>
      </c>
      <c r="M177" s="271">
        <v>0.3592377107575398</v>
      </c>
      <c r="N177" s="271"/>
      <c r="O177" s="268"/>
      <c r="P177" s="268"/>
      <c r="Q177" s="268"/>
      <c r="R177" s="268"/>
      <c r="S177" s="268"/>
      <c r="T177" s="268"/>
      <c r="U177" s="268"/>
      <c r="V177" s="268"/>
      <c r="W177" s="268"/>
      <c r="X177" s="268"/>
    </row>
    <row r="178" spans="1:24" s="269" customFormat="1" ht="14" x14ac:dyDescent="0.15">
      <c r="A178" s="270" t="s">
        <v>38</v>
      </c>
      <c r="B178" s="271">
        <v>3.0116919157454165E-3</v>
      </c>
      <c r="C178" s="271">
        <v>6.5149136577708003E-2</v>
      </c>
      <c r="D178" s="271">
        <v>0.44433094994892747</v>
      </c>
      <c r="E178" s="272"/>
      <c r="F178" s="271">
        <v>0.12795633717404487</v>
      </c>
      <c r="G178" s="271">
        <v>0.15365489806066635</v>
      </c>
      <c r="H178" s="271">
        <v>8.0339235573892609E-2</v>
      </c>
      <c r="I178" s="271">
        <v>0.3058103975535168</v>
      </c>
      <c r="J178" s="271">
        <v>3.9931447566698966E-3</v>
      </c>
      <c r="K178" s="271"/>
      <c r="L178" s="271">
        <v>0.23837126091312438</v>
      </c>
      <c r="M178" s="271">
        <v>0.30162634959682932</v>
      </c>
      <c r="N178" s="271">
        <v>8.0167851693126846E-2</v>
      </c>
      <c r="O178" s="268"/>
      <c r="P178" s="268"/>
      <c r="Q178" s="268"/>
      <c r="R178" s="268"/>
      <c r="S178" s="268"/>
      <c r="T178" s="268"/>
      <c r="U178" s="268"/>
      <c r="W178" s="268"/>
      <c r="X178" s="268"/>
    </row>
    <row r="179" spans="1:24" s="269" customFormat="1" ht="14" x14ac:dyDescent="0.15">
      <c r="A179" s="270" t="s">
        <v>39</v>
      </c>
      <c r="B179" s="271">
        <v>4.2365347001569369E-3</v>
      </c>
      <c r="C179" s="271">
        <v>4.4993735049550065E-2</v>
      </c>
      <c r="D179" s="271">
        <v>0.4325581395348837</v>
      </c>
      <c r="E179" s="272"/>
      <c r="F179" s="271">
        <v>0.24312821204724699</v>
      </c>
      <c r="G179" s="271">
        <v>0.1547310900201323</v>
      </c>
      <c r="H179" s="271">
        <v>0.13444174335822193</v>
      </c>
      <c r="I179" s="271">
        <v>0.31578103282369291</v>
      </c>
      <c r="J179" s="271">
        <v>6.7906928177372478E-3</v>
      </c>
      <c r="K179" s="271"/>
      <c r="L179" s="271">
        <v>0.31703153988868277</v>
      </c>
      <c r="M179" s="271">
        <v>0.35940032414910861</v>
      </c>
      <c r="N179" s="271">
        <v>0.27430263839031882</v>
      </c>
      <c r="O179" s="268"/>
      <c r="P179" s="268"/>
      <c r="Q179" s="268"/>
      <c r="R179" s="268"/>
      <c r="S179" s="268"/>
      <c r="T179" s="268"/>
      <c r="U179" s="268"/>
      <c r="V179" s="268">
        <v>0</v>
      </c>
      <c r="W179" s="268"/>
    </row>
    <row r="180" spans="1:24" s="269" customFormat="1" ht="14" x14ac:dyDescent="0.15">
      <c r="A180" s="270" t="s">
        <v>40</v>
      </c>
      <c r="B180" s="271">
        <v>1.804059133049361E-3</v>
      </c>
      <c r="C180" s="271">
        <v>0.14648586707410235</v>
      </c>
      <c r="D180" s="271">
        <v>0.46153846153846156</v>
      </c>
      <c r="E180" s="272"/>
      <c r="F180" s="271">
        <v>0.25707862269766241</v>
      </c>
      <c r="G180" s="271">
        <v>0.18175937904269082</v>
      </c>
      <c r="H180" s="271">
        <v>3.7928462661984526E-2</v>
      </c>
      <c r="I180" s="271">
        <v>4.3380262737380361E-2</v>
      </c>
      <c r="J180" s="271">
        <v>1.4999808587129399E-3</v>
      </c>
      <c r="K180" s="271"/>
      <c r="L180" s="271">
        <v>0.38507605701281589</v>
      </c>
      <c r="M180" s="271">
        <v>0.13245337159253945</v>
      </c>
      <c r="N180" s="271">
        <v>0.23747127802868234</v>
      </c>
      <c r="O180" s="268"/>
      <c r="P180" s="268"/>
      <c r="Q180" s="268"/>
      <c r="R180" s="268"/>
      <c r="S180" s="268"/>
      <c r="T180" s="268"/>
      <c r="U180" s="268"/>
      <c r="V180" s="268"/>
      <c r="W180" s="268"/>
    </row>
    <row r="181" spans="1:24" s="269" customFormat="1" ht="14" x14ac:dyDescent="0.15">
      <c r="A181" s="270" t="s">
        <v>41</v>
      </c>
      <c r="B181" s="271">
        <v>5.3350104639941012E-3</v>
      </c>
      <c r="C181" s="271">
        <v>0.20397167487684728</v>
      </c>
      <c r="D181" s="271">
        <v>0.45710095331214862</v>
      </c>
      <c r="E181" s="272"/>
      <c r="F181" s="271">
        <v>0.32813815121172546</v>
      </c>
      <c r="G181" s="271">
        <v>0.18018433179723503</v>
      </c>
      <c r="H181" s="271">
        <v>4.5725031726096932E-2</v>
      </c>
      <c r="I181" s="271">
        <v>4.3854362508434164E-2</v>
      </c>
      <c r="J181" s="271">
        <v>1.9530765487696666E-2</v>
      </c>
      <c r="K181" s="271"/>
      <c r="L181" s="271">
        <v>0.35461946373889014</v>
      </c>
      <c r="M181" s="271">
        <v>0.12790491396132694</v>
      </c>
      <c r="N181" s="271">
        <v>0.32130439995204413</v>
      </c>
      <c r="O181" s="268"/>
      <c r="P181" s="268"/>
      <c r="Q181" s="268"/>
      <c r="R181" s="268"/>
      <c r="S181" s="268"/>
      <c r="T181" s="268"/>
      <c r="U181" s="268"/>
      <c r="V181" s="268"/>
      <c r="W181" s="268"/>
    </row>
    <row r="182" spans="1:24" s="269" customFormat="1" ht="14" x14ac:dyDescent="0.15">
      <c r="A182" s="270" t="s">
        <v>42</v>
      </c>
      <c r="B182" s="271">
        <v>7.2200100691107143E-3</v>
      </c>
      <c r="C182" s="271">
        <v>0.20597179983411668</v>
      </c>
      <c r="D182" s="271">
        <v>0.5045189797148022</v>
      </c>
      <c r="E182" s="272"/>
      <c r="F182" s="271">
        <v>0.37452845127096934</v>
      </c>
      <c r="G182" s="271">
        <v>0.20057361376673041</v>
      </c>
      <c r="H182" s="271">
        <v>0.17976792544861755</v>
      </c>
      <c r="I182" s="271">
        <v>5.8026532011448598E-2</v>
      </c>
      <c r="J182" s="271">
        <v>7.6260909433726798E-3</v>
      </c>
      <c r="K182" s="271"/>
      <c r="L182" s="271">
        <v>0.38641611593279718</v>
      </c>
      <c r="M182" s="271">
        <v>0.37919999999999998</v>
      </c>
      <c r="N182" s="271">
        <v>0.44425840829096597</v>
      </c>
      <c r="O182" s="268"/>
      <c r="P182" s="268"/>
      <c r="Q182" s="268"/>
      <c r="R182" s="268"/>
      <c r="S182" s="268"/>
      <c r="T182" s="268"/>
      <c r="U182" s="268"/>
      <c r="V182" s="268"/>
      <c r="W182" s="268"/>
    </row>
    <row r="183" spans="1:24" s="269" customFormat="1" ht="14" x14ac:dyDescent="0.15">
      <c r="A183" s="270" t="s">
        <v>43</v>
      </c>
      <c r="B183" s="271">
        <v>1.308025876164072E-2</v>
      </c>
      <c r="C183" s="271">
        <v>0.14301525812317178</v>
      </c>
      <c r="D183" s="271">
        <v>0.46902654867256638</v>
      </c>
      <c r="E183" s="272"/>
      <c r="F183" s="271">
        <v>0.41089104025421636</v>
      </c>
      <c r="G183" s="271">
        <v>0.21420784883720931</v>
      </c>
      <c r="H183" s="271">
        <v>0.1921027354903225</v>
      </c>
      <c r="I183" s="271">
        <v>8.1791067069328469E-2</v>
      </c>
      <c r="J183" s="271">
        <v>2.2872950029919167E-2</v>
      </c>
      <c r="K183" s="271"/>
      <c r="L183" s="271">
        <v>0.38235742604452577</v>
      </c>
      <c r="M183" s="271">
        <v>0.46317441419990257</v>
      </c>
      <c r="N183" s="271">
        <v>0.53636570770725156</v>
      </c>
      <c r="O183" s="268"/>
      <c r="P183" s="268"/>
      <c r="Q183" s="268"/>
      <c r="R183" s="268"/>
      <c r="S183" s="268"/>
      <c r="T183" s="268"/>
      <c r="U183" s="268"/>
      <c r="V183" s="268"/>
      <c r="W183" s="268"/>
      <c r="X183" s="268"/>
    </row>
    <row r="184" spans="1:24" s="269" customFormat="1" ht="14" x14ac:dyDescent="0.15">
      <c r="A184" s="270" t="s">
        <v>45</v>
      </c>
      <c r="B184" s="273">
        <v>9.3063551506343978E-3</v>
      </c>
      <c r="C184" s="273">
        <v>0.15005534433803358</v>
      </c>
      <c r="D184" s="273">
        <v>0.43352601156069365</v>
      </c>
      <c r="E184" s="274"/>
      <c r="F184" s="273">
        <v>0.35548922384829218</v>
      </c>
      <c r="G184" s="273">
        <v>0.19592668024439919</v>
      </c>
      <c r="H184" s="273">
        <v>0.1811757891688387</v>
      </c>
      <c r="I184" s="273">
        <v>7.4258150022375985E-2</v>
      </c>
      <c r="J184" s="273">
        <v>2.2209925097333938E-2</v>
      </c>
      <c r="K184" s="273"/>
      <c r="L184" s="273">
        <v>0.3804569942411295</v>
      </c>
      <c r="M184" s="273">
        <v>0.30471387666139577</v>
      </c>
      <c r="N184" s="273">
        <v>0.66219541877383237</v>
      </c>
      <c r="O184" s="268"/>
      <c r="P184" s="268"/>
      <c r="Q184" s="268"/>
      <c r="R184" s="268"/>
      <c r="S184" s="268"/>
      <c r="T184" s="268"/>
      <c r="U184" s="268"/>
      <c r="V184" s="268"/>
      <c r="W184" s="268"/>
      <c r="X184" s="268"/>
    </row>
    <row r="185" spans="1:24" s="269" customFormat="1" ht="14" x14ac:dyDescent="0.15">
      <c r="A185" s="270" t="s">
        <v>72</v>
      </c>
      <c r="B185" s="273">
        <v>8.9196205948127386E-3</v>
      </c>
      <c r="C185" s="273">
        <v>0.28227502356723311</v>
      </c>
      <c r="D185" s="273">
        <v>0.43611111111111112</v>
      </c>
      <c r="E185" s="274"/>
      <c r="F185" s="273">
        <v>0.36126485905789485</v>
      </c>
      <c r="G185" s="273">
        <v>0.10375166002656043</v>
      </c>
      <c r="H185" s="273">
        <v>0.24775192716871883</v>
      </c>
      <c r="I185" s="273">
        <v>4.9782989069920694E-2</v>
      </c>
      <c r="J185" s="273">
        <v>2.1062864549578744E-2</v>
      </c>
      <c r="K185" s="273"/>
      <c r="L185" s="273">
        <v>0.24058648533786656</v>
      </c>
      <c r="M185" s="273">
        <v>0.31115350981795054</v>
      </c>
      <c r="N185" s="273">
        <v>0.64436276862734343</v>
      </c>
    </row>
    <row r="186" spans="1:24" s="269" customFormat="1" ht="14" x14ac:dyDescent="0.15">
      <c r="A186" s="270" t="s">
        <v>84</v>
      </c>
      <c r="B186" s="273">
        <v>8.712842290232831E-3</v>
      </c>
      <c r="C186" s="273">
        <v>0.55823526083512509</v>
      </c>
      <c r="D186" s="273">
        <v>0.42523162178543594</v>
      </c>
      <c r="E186" s="274"/>
      <c r="F186" s="273">
        <v>0.38022714452891504</v>
      </c>
      <c r="G186" s="273">
        <v>0.15262592428742969</v>
      </c>
      <c r="H186" s="273">
        <v>0.32284028536173714</v>
      </c>
      <c r="I186" s="273">
        <v>4.4672441541228819E-2</v>
      </c>
      <c r="J186" s="273">
        <v>2.854713716836561E-2</v>
      </c>
      <c r="K186" s="273"/>
      <c r="L186" s="273">
        <v>0.23174839767476524</v>
      </c>
      <c r="M186" s="273">
        <v>0.3167139227455168</v>
      </c>
      <c r="N186" s="273">
        <v>0.55262922038846141</v>
      </c>
    </row>
    <row r="187" spans="1:24" s="269" customFormat="1" ht="14" x14ac:dyDescent="0.15">
      <c r="A187" s="270" t="s">
        <v>91</v>
      </c>
      <c r="B187" s="273">
        <v>7.1431478692661485E-3</v>
      </c>
      <c r="C187" s="273">
        <v>0.4168061412448924</v>
      </c>
      <c r="D187" s="273">
        <v>0.43991263713937423</v>
      </c>
      <c r="E187" s="274"/>
      <c r="F187" s="273">
        <v>0.39628506200495184</v>
      </c>
      <c r="G187" s="273">
        <v>0.25718252052148721</v>
      </c>
      <c r="H187" s="273">
        <v>0.29646412946384909</v>
      </c>
      <c r="I187" s="273">
        <v>1.7952873706520385E-2</v>
      </c>
      <c r="J187" s="273">
        <v>1.6933669693787727E-2</v>
      </c>
      <c r="K187" s="273"/>
      <c r="L187" s="273">
        <v>0.20900817074234537</v>
      </c>
      <c r="M187" s="273">
        <v>0.31003674616326826</v>
      </c>
      <c r="N187" s="273">
        <v>0.24505321765842303</v>
      </c>
    </row>
    <row r="188" spans="1:24" s="269" customFormat="1" ht="14" x14ac:dyDescent="0.15">
      <c r="A188" s="275" t="s">
        <v>115</v>
      </c>
      <c r="B188" s="276">
        <v>5.1523253771541206E-3</v>
      </c>
      <c r="C188" s="276">
        <v>0.41821498650968847</v>
      </c>
      <c r="D188" s="276">
        <v>0.40542324923367129</v>
      </c>
      <c r="E188" s="276"/>
      <c r="F188" s="276">
        <v>0.39183681279779559</v>
      </c>
      <c r="G188" s="276">
        <v>0.29913370998116762</v>
      </c>
      <c r="H188" s="276">
        <v>0.27058645650242863</v>
      </c>
      <c r="I188" s="276">
        <v>2.6685601841538575E-2</v>
      </c>
      <c r="J188" s="276">
        <v>1.2598580677588827E-2</v>
      </c>
      <c r="K188" s="276"/>
      <c r="L188" s="276">
        <v>0.20213306246825799</v>
      </c>
      <c r="M188" s="276">
        <v>0.2608115889323272</v>
      </c>
      <c r="N188" s="276">
        <v>0.22780461142034869</v>
      </c>
      <c r="P188" s="269" t="s">
        <v>97</v>
      </c>
    </row>
    <row r="189" spans="1:24" s="269" customFormat="1" ht="14" x14ac:dyDescent="0.15">
      <c r="A189" s="277" t="s">
        <v>143</v>
      </c>
      <c r="B189" s="268"/>
      <c r="C189" s="268"/>
      <c r="D189" s="268"/>
      <c r="E189" s="268"/>
      <c r="F189" s="268"/>
      <c r="G189" s="268"/>
      <c r="H189" s="268"/>
      <c r="I189" s="268"/>
      <c r="J189" s="268"/>
    </row>
    <row r="190" spans="1:24" s="269" customFormat="1" ht="14" x14ac:dyDescent="0.15">
      <c r="A190" s="275" t="s">
        <v>147</v>
      </c>
      <c r="B190" s="268"/>
      <c r="C190" s="268"/>
      <c r="D190" s="268"/>
      <c r="E190" s="268"/>
      <c r="F190" s="268"/>
      <c r="G190" s="268"/>
      <c r="H190" s="268"/>
      <c r="I190" s="268"/>
      <c r="J190" s="268"/>
    </row>
    <row r="191" spans="1:24" s="269" customFormat="1" ht="14" x14ac:dyDescent="0.15">
      <c r="A191" s="275" t="s">
        <v>159</v>
      </c>
      <c r="B191" s="268"/>
      <c r="C191" s="268"/>
      <c r="D191" s="268"/>
      <c r="E191" s="268"/>
      <c r="F191" s="268"/>
      <c r="G191" s="268"/>
      <c r="H191" s="268"/>
      <c r="I191" s="268"/>
      <c r="J191" s="268"/>
    </row>
    <row r="192" spans="1:24" x14ac:dyDescent="0.15">
      <c r="A192" s="31" t="s">
        <v>192</v>
      </c>
      <c r="B192"/>
      <c r="C192"/>
      <c r="D192"/>
      <c r="E192"/>
      <c r="F192"/>
      <c r="G192"/>
      <c r="H192"/>
      <c r="I192"/>
    </row>
    <row r="193" spans="1:31" x14ac:dyDescent="0.15">
      <c r="A193" s="26" t="s">
        <v>16</v>
      </c>
      <c r="B193" s="96" t="s">
        <v>3</v>
      </c>
      <c r="C193" s="96" t="s">
        <v>4</v>
      </c>
      <c r="D193" s="96" t="s">
        <v>5</v>
      </c>
      <c r="E193" s="251" t="s">
        <v>161</v>
      </c>
      <c r="F193" s="96" t="s">
        <v>49</v>
      </c>
      <c r="G193" s="96" t="s">
        <v>7</v>
      </c>
      <c r="H193" s="96" t="s">
        <v>50</v>
      </c>
      <c r="I193" s="96" t="s">
        <v>114</v>
      </c>
      <c r="J193" s="96" t="s">
        <v>8</v>
      </c>
      <c r="K193" s="96" t="s">
        <v>17</v>
      </c>
      <c r="L193" s="96" t="s">
        <v>9</v>
      </c>
      <c r="M193" s="96" t="s">
        <v>12</v>
      </c>
      <c r="N193" s="96" t="s">
        <v>10</v>
      </c>
      <c r="P193" s="32" t="s">
        <v>98</v>
      </c>
    </row>
    <row r="194" spans="1:31" x14ac:dyDescent="0.15">
      <c r="A194" s="212">
        <v>44835</v>
      </c>
      <c r="B194" s="211">
        <v>1859</v>
      </c>
      <c r="C194" s="211">
        <v>49021</v>
      </c>
      <c r="D194" s="211">
        <v>8110</v>
      </c>
      <c r="E194" s="210"/>
      <c r="F194" s="211">
        <v>22463</v>
      </c>
      <c r="G194" s="211">
        <v>1358</v>
      </c>
      <c r="H194" s="211">
        <v>11126</v>
      </c>
      <c r="I194" s="211">
        <v>14878</v>
      </c>
      <c r="J194" s="211">
        <v>33813</v>
      </c>
      <c r="K194" s="211">
        <v>13088</v>
      </c>
      <c r="L194" s="211">
        <v>5896</v>
      </c>
      <c r="M194" s="211">
        <v>3376</v>
      </c>
      <c r="N194" s="211">
        <v>11108</v>
      </c>
      <c r="P194" s="32"/>
    </row>
    <row r="195" spans="1:31" x14ac:dyDescent="0.15">
      <c r="A195" s="212">
        <v>44866</v>
      </c>
      <c r="B195" s="211">
        <v>2117</v>
      </c>
      <c r="C195" s="211">
        <v>52556</v>
      </c>
      <c r="D195" s="211">
        <v>9476</v>
      </c>
      <c r="E195" s="210"/>
      <c r="F195" s="211">
        <v>25867</v>
      </c>
      <c r="G195" s="211">
        <v>1392</v>
      </c>
      <c r="H195" s="211">
        <v>11493</v>
      </c>
      <c r="I195" s="211">
        <v>17170</v>
      </c>
      <c r="J195" s="211">
        <v>38975</v>
      </c>
      <c r="K195" s="211">
        <v>12774</v>
      </c>
      <c r="L195" s="211">
        <v>6671</v>
      </c>
      <c r="M195" s="211">
        <v>4147</v>
      </c>
      <c r="N195" s="211">
        <v>12422</v>
      </c>
    </row>
    <row r="196" spans="1:31" x14ac:dyDescent="0.15">
      <c r="A196" s="212">
        <v>44896</v>
      </c>
      <c r="B196" s="211">
        <v>1586</v>
      </c>
      <c r="C196" s="211">
        <v>41770</v>
      </c>
      <c r="D196" s="211">
        <v>9159</v>
      </c>
      <c r="E196" s="210"/>
      <c r="F196" s="211">
        <v>20272</v>
      </c>
      <c r="G196" s="211">
        <v>995</v>
      </c>
      <c r="H196" s="211">
        <v>9180</v>
      </c>
      <c r="I196" s="211">
        <v>12677</v>
      </c>
      <c r="J196" s="211">
        <v>34725</v>
      </c>
      <c r="K196" s="211">
        <v>9827</v>
      </c>
      <c r="L196" s="211">
        <v>4595</v>
      </c>
      <c r="M196" s="211">
        <v>4010</v>
      </c>
      <c r="N196" s="211">
        <v>9608</v>
      </c>
    </row>
    <row r="197" spans="1:31" x14ac:dyDescent="0.15">
      <c r="A197" s="212">
        <v>44927</v>
      </c>
      <c r="B197" s="211">
        <v>1393</v>
      </c>
      <c r="C197" s="211">
        <v>38981</v>
      </c>
      <c r="D197" s="211">
        <v>8194</v>
      </c>
      <c r="E197" s="210"/>
      <c r="F197" s="211">
        <v>19810</v>
      </c>
      <c r="G197" s="211">
        <v>1441</v>
      </c>
      <c r="H197" s="211">
        <v>9951</v>
      </c>
      <c r="I197" s="211">
        <v>11084</v>
      </c>
      <c r="J197" s="211">
        <v>36666</v>
      </c>
      <c r="K197" s="211">
        <v>9186</v>
      </c>
      <c r="L197" s="211">
        <v>5488</v>
      </c>
      <c r="M197" s="211">
        <v>1666</v>
      </c>
      <c r="N197" s="211">
        <v>10242</v>
      </c>
    </row>
    <row r="198" spans="1:31" x14ac:dyDescent="0.15">
      <c r="A198" s="212">
        <v>44958</v>
      </c>
      <c r="B198" s="211">
        <v>3054</v>
      </c>
      <c r="C198" s="211">
        <v>48078</v>
      </c>
      <c r="D198" s="211">
        <v>8893</v>
      </c>
      <c r="E198" s="210"/>
      <c r="F198" s="211">
        <v>23688</v>
      </c>
      <c r="G198" s="211">
        <v>1309</v>
      </c>
      <c r="H198" s="211">
        <v>12359</v>
      </c>
      <c r="I198" s="211">
        <v>14490</v>
      </c>
      <c r="J198" s="211">
        <v>36906</v>
      </c>
      <c r="K198" s="211">
        <v>10434</v>
      </c>
      <c r="L198" s="211">
        <v>5685</v>
      </c>
      <c r="M198" s="211">
        <v>392</v>
      </c>
      <c r="N198" s="211">
        <v>11859</v>
      </c>
    </row>
    <row r="199" spans="1:31" x14ac:dyDescent="0.15">
      <c r="A199" s="212">
        <v>44986</v>
      </c>
      <c r="B199" s="211">
        <v>2386</v>
      </c>
      <c r="C199" s="211">
        <v>58194</v>
      </c>
      <c r="D199" s="211">
        <v>11528</v>
      </c>
      <c r="E199" s="210"/>
      <c r="F199" s="211">
        <v>30454</v>
      </c>
      <c r="G199" s="211">
        <v>1565</v>
      </c>
      <c r="H199" s="211">
        <v>14501</v>
      </c>
      <c r="I199" s="211">
        <v>19314</v>
      </c>
      <c r="J199" s="211">
        <v>40595</v>
      </c>
      <c r="K199" s="211">
        <v>13164</v>
      </c>
      <c r="L199" s="211">
        <v>6392</v>
      </c>
      <c r="M199" s="211">
        <v>4537</v>
      </c>
      <c r="N199" s="211">
        <v>13636</v>
      </c>
    </row>
    <row r="200" spans="1:31" x14ac:dyDescent="0.15">
      <c r="A200" s="212">
        <v>45017</v>
      </c>
      <c r="B200" s="211">
        <v>2037</v>
      </c>
      <c r="C200" s="211">
        <v>53580</v>
      </c>
      <c r="D200" s="211">
        <v>10293</v>
      </c>
      <c r="E200" s="210"/>
      <c r="F200" s="211">
        <v>27324</v>
      </c>
      <c r="G200" s="211">
        <v>1304</v>
      </c>
      <c r="H200" s="211">
        <v>13267</v>
      </c>
      <c r="I200" s="211">
        <v>18366</v>
      </c>
      <c r="J200" s="211">
        <v>34117</v>
      </c>
      <c r="K200" s="211">
        <v>10907</v>
      </c>
      <c r="L200" s="211">
        <v>6177</v>
      </c>
      <c r="M200" s="211">
        <v>4327</v>
      </c>
      <c r="N200" s="211">
        <v>12635</v>
      </c>
    </row>
    <row r="201" spans="1:31" x14ac:dyDescent="0.15">
      <c r="A201" s="212">
        <v>45047</v>
      </c>
      <c r="B201" s="211">
        <v>30375</v>
      </c>
      <c r="C201" s="211">
        <v>55797</v>
      </c>
      <c r="D201" s="211">
        <v>11345</v>
      </c>
      <c r="E201" s="210"/>
      <c r="F201" s="211">
        <v>27377</v>
      </c>
      <c r="G201" s="211">
        <v>1470</v>
      </c>
      <c r="H201" s="211">
        <v>12300</v>
      </c>
      <c r="I201" s="211">
        <v>15941</v>
      </c>
      <c r="J201" s="211">
        <v>34189</v>
      </c>
      <c r="K201" s="211">
        <v>8117</v>
      </c>
      <c r="L201" s="211">
        <v>5967</v>
      </c>
      <c r="M201" s="211">
        <v>5270</v>
      </c>
      <c r="N201" s="211">
        <v>11851</v>
      </c>
    </row>
    <row r="202" spans="1:31" x14ac:dyDescent="0.15">
      <c r="A202" s="212">
        <v>45078</v>
      </c>
      <c r="B202" s="211">
        <v>8376</v>
      </c>
      <c r="C202" s="211">
        <v>48938</v>
      </c>
      <c r="D202" s="211">
        <v>9627</v>
      </c>
      <c r="E202" s="210"/>
      <c r="F202" s="211">
        <v>23312</v>
      </c>
      <c r="G202" s="211">
        <v>1486</v>
      </c>
      <c r="H202" s="211">
        <v>10395</v>
      </c>
      <c r="I202" s="211">
        <v>12232</v>
      </c>
      <c r="J202" s="211">
        <v>35377</v>
      </c>
      <c r="K202" s="211">
        <v>6689</v>
      </c>
      <c r="L202" s="211">
        <v>5536</v>
      </c>
      <c r="M202" s="211">
        <v>4256</v>
      </c>
      <c r="N202" s="211">
        <v>9470</v>
      </c>
    </row>
    <row r="203" spans="1:31" x14ac:dyDescent="0.15">
      <c r="A203" s="212">
        <v>45108</v>
      </c>
      <c r="B203" s="211">
        <v>14181</v>
      </c>
      <c r="C203" s="211">
        <v>44544</v>
      </c>
      <c r="D203" s="211">
        <v>8898</v>
      </c>
      <c r="E203" s="210"/>
      <c r="F203" s="211">
        <v>21390</v>
      </c>
      <c r="G203" s="211">
        <v>1506</v>
      </c>
      <c r="H203" s="211">
        <v>10370</v>
      </c>
      <c r="I203" s="211">
        <v>14194</v>
      </c>
      <c r="J203" s="211">
        <v>47270</v>
      </c>
      <c r="K203" s="211">
        <v>2416</v>
      </c>
      <c r="L203" s="211">
        <v>5008</v>
      </c>
      <c r="M203" s="211">
        <v>3852</v>
      </c>
      <c r="N203" s="211">
        <v>8759</v>
      </c>
    </row>
    <row r="204" spans="1:31" x14ac:dyDescent="0.15">
      <c r="A204" s="212">
        <v>45139</v>
      </c>
      <c r="B204" s="211">
        <v>18529</v>
      </c>
      <c r="C204" s="211">
        <v>46574</v>
      </c>
      <c r="D204" s="211">
        <v>9003</v>
      </c>
      <c r="E204" s="210"/>
      <c r="F204" s="211">
        <v>21476</v>
      </c>
      <c r="G204" s="211">
        <v>1488</v>
      </c>
      <c r="H204" s="211">
        <v>11034</v>
      </c>
      <c r="I204" s="211">
        <v>12766</v>
      </c>
      <c r="J204" s="211">
        <v>47078</v>
      </c>
      <c r="K204" s="211">
        <v>1829</v>
      </c>
      <c r="L204" s="211">
        <v>5117</v>
      </c>
      <c r="M204" s="211">
        <v>4150</v>
      </c>
      <c r="N204" s="211">
        <v>7825</v>
      </c>
    </row>
    <row r="205" spans="1:31" x14ac:dyDescent="0.15">
      <c r="A205" s="212">
        <v>45170</v>
      </c>
      <c r="B205" s="211">
        <v>12467</v>
      </c>
      <c r="C205" s="211">
        <v>49691</v>
      </c>
      <c r="D205" s="211">
        <v>8802</v>
      </c>
      <c r="E205" s="210"/>
      <c r="F205" s="211">
        <v>23072</v>
      </c>
      <c r="G205" s="211">
        <v>1367</v>
      </c>
      <c r="H205" s="211">
        <v>9630</v>
      </c>
      <c r="I205" s="211">
        <v>13630</v>
      </c>
      <c r="J205" s="211">
        <v>46496</v>
      </c>
      <c r="K205" s="211">
        <v>8141</v>
      </c>
      <c r="L205" s="211">
        <v>5748</v>
      </c>
      <c r="M205" s="211">
        <v>4900</v>
      </c>
      <c r="N205" s="211">
        <v>10679</v>
      </c>
      <c r="AD205" s="12">
        <v>32997</v>
      </c>
      <c r="AE205" s="12">
        <v>89647</v>
      </c>
    </row>
    <row r="206" spans="1:31" x14ac:dyDescent="0.15">
      <c r="A206" s="130" t="s">
        <v>54</v>
      </c>
      <c r="B206" s="111">
        <f>SUM(B194:B205)</f>
        <v>98360</v>
      </c>
      <c r="C206" s="111">
        <f t="shared" ref="C206:N206" si="193">SUM(C194:C205)</f>
        <v>587724</v>
      </c>
      <c r="D206" s="111">
        <f t="shared" si="193"/>
        <v>113328</v>
      </c>
      <c r="E206" s="134"/>
      <c r="F206" s="111">
        <f t="shared" si="193"/>
        <v>286505</v>
      </c>
      <c r="G206" s="111">
        <f t="shared" si="193"/>
        <v>16681</v>
      </c>
      <c r="H206" s="111">
        <f t="shared" si="193"/>
        <v>135606</v>
      </c>
      <c r="I206" s="111">
        <f t="shared" si="193"/>
        <v>176742</v>
      </c>
      <c r="J206" s="111">
        <f t="shared" si="193"/>
        <v>466207</v>
      </c>
      <c r="K206" s="111">
        <f t="shared" si="193"/>
        <v>106572</v>
      </c>
      <c r="L206" s="111">
        <f t="shared" si="193"/>
        <v>68280</v>
      </c>
      <c r="M206" s="111">
        <f t="shared" si="193"/>
        <v>44883</v>
      </c>
      <c r="N206" s="111">
        <f t="shared" si="193"/>
        <v>130094</v>
      </c>
    </row>
    <row r="207" spans="1:31" x14ac:dyDescent="0.15">
      <c r="A207" s="131" t="s">
        <v>29</v>
      </c>
      <c r="B207" s="105">
        <f>AVERAGE(B194:B205)</f>
        <v>8196.6666666666661</v>
      </c>
      <c r="C207" s="105">
        <f t="shared" ref="C207:N207" si="194">AVERAGE(C194:C205)</f>
        <v>48977</v>
      </c>
      <c r="D207" s="105">
        <f t="shared" si="194"/>
        <v>9444</v>
      </c>
      <c r="E207" s="105"/>
      <c r="F207" s="105">
        <f t="shared" si="194"/>
        <v>23875.416666666668</v>
      </c>
      <c r="G207" s="105">
        <f t="shared" si="194"/>
        <v>1390.0833333333333</v>
      </c>
      <c r="H207" s="105">
        <f t="shared" si="194"/>
        <v>11300.5</v>
      </c>
      <c r="I207" s="105">
        <f t="shared" si="194"/>
        <v>14728.5</v>
      </c>
      <c r="J207" s="105">
        <f t="shared" si="194"/>
        <v>38850.583333333336</v>
      </c>
      <c r="K207" s="105">
        <f t="shared" si="194"/>
        <v>8881</v>
      </c>
      <c r="L207" s="105">
        <f t="shared" si="194"/>
        <v>5690</v>
      </c>
      <c r="M207" s="105">
        <f t="shared" si="194"/>
        <v>3740.25</v>
      </c>
      <c r="N207" s="105">
        <f t="shared" si="194"/>
        <v>10841.166666666666</v>
      </c>
    </row>
    <row r="208" spans="1:31" x14ac:dyDescent="0.15">
      <c r="A208" s="213" t="s">
        <v>116</v>
      </c>
      <c r="B208" s="214">
        <v>51239</v>
      </c>
      <c r="C208" s="214">
        <v>130464</v>
      </c>
      <c r="D208" s="214">
        <v>21205</v>
      </c>
      <c r="E208" s="214"/>
      <c r="F208" s="214">
        <v>104518</v>
      </c>
      <c r="G208" s="214">
        <v>13275</v>
      </c>
      <c r="H208" s="214">
        <v>158733</v>
      </c>
      <c r="I208" s="214">
        <v>107736</v>
      </c>
      <c r="J208" s="214">
        <v>668488</v>
      </c>
      <c r="K208" s="214"/>
      <c r="L208" s="214">
        <v>37411</v>
      </c>
      <c r="M208" s="214">
        <v>32997</v>
      </c>
      <c r="N208" s="214">
        <v>89647</v>
      </c>
      <c r="O208" s="32"/>
    </row>
    <row r="209" spans="1:16" x14ac:dyDescent="0.15">
      <c r="A209" s="213" t="s">
        <v>93</v>
      </c>
      <c r="B209" s="215">
        <v>49138</v>
      </c>
      <c r="C209" s="215">
        <v>106949</v>
      </c>
      <c r="D209" s="215">
        <v>19688</v>
      </c>
      <c r="E209" s="215"/>
      <c r="F209" s="215">
        <v>93299</v>
      </c>
      <c r="G209" s="215">
        <v>16568</v>
      </c>
      <c r="H209" s="215">
        <v>153371</v>
      </c>
      <c r="I209" s="215">
        <v>136357</v>
      </c>
      <c r="J209" s="215">
        <v>541879</v>
      </c>
      <c r="K209" s="215"/>
      <c r="L209" s="215">
        <v>34391</v>
      </c>
      <c r="M209" s="215">
        <v>27758</v>
      </c>
      <c r="N209" s="215">
        <v>83337</v>
      </c>
      <c r="O209" s="32"/>
      <c r="P209" s="32"/>
    </row>
    <row r="210" spans="1:16" x14ac:dyDescent="0.15">
      <c r="A210" s="257"/>
      <c r="B210" s="258"/>
      <c r="C210" s="258"/>
      <c r="D210" s="20"/>
      <c r="E210" s="20"/>
      <c r="F210" s="20"/>
      <c r="G210" s="8"/>
      <c r="H210" s="8"/>
      <c r="I210" s="8"/>
      <c r="J210" s="8"/>
      <c r="K210" s="8"/>
      <c r="L210" s="8"/>
    </row>
    <row r="211" spans="1:16" x14ac:dyDescent="0.15">
      <c r="A211" s="31" t="s">
        <v>124</v>
      </c>
      <c r="B211"/>
      <c r="C211"/>
      <c r="D211"/>
      <c r="E211"/>
      <c r="F211"/>
      <c r="G211"/>
      <c r="H211"/>
      <c r="I211"/>
    </row>
    <row r="212" spans="1:16" x14ac:dyDescent="0.15">
      <c r="A212" s="26" t="s">
        <v>16</v>
      </c>
      <c r="B212" s="96" t="s">
        <v>3</v>
      </c>
      <c r="C212" s="96" t="s">
        <v>4</v>
      </c>
      <c r="D212" s="96" t="s">
        <v>5</v>
      </c>
      <c r="E212" s="251" t="s">
        <v>222</v>
      </c>
      <c r="F212" s="96" t="s">
        <v>49</v>
      </c>
      <c r="G212" s="96" t="s">
        <v>7</v>
      </c>
      <c r="H212" s="96" t="s">
        <v>50</v>
      </c>
      <c r="I212" s="96" t="s">
        <v>114</v>
      </c>
      <c r="J212" s="96" t="s">
        <v>8</v>
      </c>
      <c r="K212" s="96" t="s">
        <v>17</v>
      </c>
      <c r="L212" s="96" t="s">
        <v>9</v>
      </c>
      <c r="M212" s="96" t="s">
        <v>12</v>
      </c>
      <c r="N212" s="96" t="s">
        <v>10</v>
      </c>
      <c r="P212" s="32" t="s">
        <v>100</v>
      </c>
    </row>
    <row r="213" spans="1:16" x14ac:dyDescent="0.15">
      <c r="A213" s="315">
        <v>45566</v>
      </c>
      <c r="B213" s="290">
        <v>12418</v>
      </c>
      <c r="C213" s="290">
        <v>16166</v>
      </c>
      <c r="D213" s="290">
        <v>11053</v>
      </c>
      <c r="E213" s="290">
        <v>694</v>
      </c>
      <c r="F213" s="290">
        <v>13899</v>
      </c>
      <c r="G213" s="290">
        <v>6372</v>
      </c>
      <c r="H213" s="290">
        <v>22239</v>
      </c>
      <c r="I213" s="290">
        <v>542</v>
      </c>
      <c r="J213" s="290">
        <v>156248</v>
      </c>
      <c r="K213" s="290">
        <v>11421</v>
      </c>
      <c r="L213" s="290">
        <v>11401</v>
      </c>
      <c r="M213" s="290">
        <v>12057</v>
      </c>
      <c r="N213" s="290">
        <v>20704</v>
      </c>
      <c r="O213" s="20"/>
    </row>
    <row r="214" spans="1:16" x14ac:dyDescent="0.15">
      <c r="A214" s="315">
        <v>45597</v>
      </c>
      <c r="B214" s="290">
        <v>3953</v>
      </c>
      <c r="C214" s="290">
        <v>14653</v>
      </c>
      <c r="D214" s="290">
        <v>11604</v>
      </c>
      <c r="E214" s="290">
        <v>720</v>
      </c>
      <c r="F214" s="290">
        <v>17353</v>
      </c>
      <c r="G214" s="290">
        <v>5153</v>
      </c>
      <c r="H214" s="290">
        <v>99878</v>
      </c>
      <c r="I214" s="290">
        <v>542</v>
      </c>
      <c r="J214" s="290">
        <v>254326</v>
      </c>
      <c r="K214" s="290">
        <v>9532</v>
      </c>
      <c r="L214" s="290">
        <v>10936</v>
      </c>
      <c r="M214" s="290">
        <v>9000</v>
      </c>
      <c r="N214" s="290">
        <v>5877</v>
      </c>
      <c r="O214" s="20"/>
    </row>
    <row r="215" spans="1:16" x14ac:dyDescent="0.15">
      <c r="A215" s="315">
        <v>45627</v>
      </c>
      <c r="B215" s="290">
        <v>49851</v>
      </c>
      <c r="C215" s="290">
        <v>8649</v>
      </c>
      <c r="D215" s="290">
        <v>9322</v>
      </c>
      <c r="E215" s="290">
        <v>505</v>
      </c>
      <c r="F215" s="290">
        <v>12337</v>
      </c>
      <c r="G215" s="290">
        <v>3557</v>
      </c>
      <c r="H215" s="290">
        <v>18710</v>
      </c>
      <c r="I215" s="290">
        <v>423</v>
      </c>
      <c r="J215" s="290">
        <v>249773</v>
      </c>
      <c r="K215" s="290">
        <v>6260</v>
      </c>
      <c r="L215" s="290">
        <v>9512</v>
      </c>
      <c r="M215" s="290">
        <v>7803</v>
      </c>
      <c r="N215" s="290">
        <v>4071</v>
      </c>
      <c r="O215" s="20"/>
    </row>
    <row r="216" spans="1:16" x14ac:dyDescent="0.15">
      <c r="A216" s="315">
        <v>45658</v>
      </c>
      <c r="B216" s="290">
        <v>3831</v>
      </c>
      <c r="C216" s="290">
        <v>7522</v>
      </c>
      <c r="D216" s="290">
        <v>9370</v>
      </c>
      <c r="E216" s="290">
        <v>711</v>
      </c>
      <c r="F216" s="290">
        <v>12346</v>
      </c>
      <c r="G216" s="290">
        <v>3416</v>
      </c>
      <c r="H216" s="290">
        <v>19955</v>
      </c>
      <c r="I216" s="290">
        <v>550</v>
      </c>
      <c r="J216" s="290">
        <v>246614</v>
      </c>
      <c r="K216" s="290">
        <v>6133</v>
      </c>
      <c r="L216" s="290">
        <v>13091</v>
      </c>
      <c r="M216" s="290">
        <v>7916</v>
      </c>
      <c r="N216" s="290">
        <v>4059</v>
      </c>
      <c r="O216" s="200"/>
    </row>
    <row r="217" spans="1:16" x14ac:dyDescent="0.15">
      <c r="A217" s="315">
        <v>45689</v>
      </c>
      <c r="B217" s="290">
        <v>3505</v>
      </c>
      <c r="C217" s="290">
        <v>4956</v>
      </c>
      <c r="D217" s="290">
        <v>10182</v>
      </c>
      <c r="E217" s="290">
        <v>5619</v>
      </c>
      <c r="F217" s="290">
        <v>27529</v>
      </c>
      <c r="G217" s="290">
        <v>3479</v>
      </c>
      <c r="H217" s="290">
        <v>20446</v>
      </c>
      <c r="I217" s="290">
        <v>567</v>
      </c>
      <c r="J217" s="290">
        <v>102190</v>
      </c>
      <c r="K217" s="290">
        <v>6970</v>
      </c>
      <c r="L217" s="290">
        <v>13601</v>
      </c>
      <c r="M217" s="290">
        <v>8499</v>
      </c>
      <c r="N217" s="290">
        <v>4408</v>
      </c>
      <c r="O217" s="20"/>
    </row>
    <row r="218" spans="1:16" x14ac:dyDescent="0.15">
      <c r="A218" s="315">
        <v>45717</v>
      </c>
      <c r="B218" s="290">
        <v>3730</v>
      </c>
      <c r="C218" s="290">
        <v>2706</v>
      </c>
      <c r="D218" s="290">
        <v>12731</v>
      </c>
      <c r="E218" s="290">
        <v>628</v>
      </c>
      <c r="F218" s="290">
        <v>16309</v>
      </c>
      <c r="G218" s="290">
        <v>1631</v>
      </c>
      <c r="H218" s="290">
        <v>23734</v>
      </c>
      <c r="I218" s="290">
        <v>631</v>
      </c>
      <c r="J218" s="290">
        <v>99851</v>
      </c>
      <c r="K218" s="290">
        <v>8393</v>
      </c>
      <c r="L218" s="290">
        <v>15187</v>
      </c>
      <c r="M218" s="290">
        <v>10063</v>
      </c>
      <c r="N218" s="290">
        <v>4517</v>
      </c>
      <c r="O218" s="20"/>
    </row>
    <row r="219" spans="1:16" x14ac:dyDescent="0.15">
      <c r="A219" s="315">
        <v>45748</v>
      </c>
      <c r="B219" s="290">
        <v>3756</v>
      </c>
      <c r="C219" s="290">
        <v>4774</v>
      </c>
      <c r="D219" s="290">
        <v>10955</v>
      </c>
      <c r="E219" s="290">
        <v>578</v>
      </c>
      <c r="F219" s="290">
        <v>15252</v>
      </c>
      <c r="G219" s="290">
        <v>1714</v>
      </c>
      <c r="H219" s="290">
        <v>21521</v>
      </c>
      <c r="I219" s="290">
        <v>615</v>
      </c>
      <c r="J219" s="290">
        <v>92561</v>
      </c>
      <c r="K219" s="290">
        <v>7363</v>
      </c>
      <c r="L219" s="290">
        <v>17068</v>
      </c>
      <c r="M219" s="290">
        <v>11136</v>
      </c>
      <c r="N219" s="290">
        <v>3693</v>
      </c>
      <c r="O219" s="20"/>
    </row>
    <row r="220" spans="1:16" x14ac:dyDescent="0.15">
      <c r="A220" s="315">
        <v>45778</v>
      </c>
      <c r="B220" s="290">
        <v>4701</v>
      </c>
      <c r="C220" s="290">
        <v>19033</v>
      </c>
      <c r="D220" s="290">
        <v>14510</v>
      </c>
      <c r="E220" s="290">
        <v>962</v>
      </c>
      <c r="F220" s="290">
        <v>16084</v>
      </c>
      <c r="G220" s="290">
        <v>12828</v>
      </c>
      <c r="H220" s="290">
        <v>29626</v>
      </c>
      <c r="I220" s="290">
        <v>3814</v>
      </c>
      <c r="J220" s="290">
        <v>86061</v>
      </c>
      <c r="K220" s="290">
        <v>7221</v>
      </c>
      <c r="L220" s="290">
        <v>14547</v>
      </c>
      <c r="M220" s="290">
        <v>13042</v>
      </c>
      <c r="N220" s="290">
        <v>6935</v>
      </c>
      <c r="O220" s="20"/>
    </row>
    <row r="221" spans="1:16" x14ac:dyDescent="0.15">
      <c r="A221" s="315">
        <v>45809</v>
      </c>
      <c r="B221" s="290">
        <v>6513</v>
      </c>
      <c r="C221" s="290">
        <v>16609</v>
      </c>
      <c r="D221" s="290">
        <v>16500</v>
      </c>
      <c r="E221" s="290">
        <v>457</v>
      </c>
      <c r="F221" s="290">
        <v>30890</v>
      </c>
      <c r="G221" s="290">
        <v>3451</v>
      </c>
      <c r="H221" s="290">
        <v>27083</v>
      </c>
      <c r="I221" s="290">
        <v>4315</v>
      </c>
      <c r="J221" s="290">
        <v>76387</v>
      </c>
      <c r="K221" s="290">
        <v>6374</v>
      </c>
      <c r="L221" s="290">
        <v>13483</v>
      </c>
      <c r="M221" s="290">
        <v>10313</v>
      </c>
      <c r="N221" s="290">
        <v>6599</v>
      </c>
      <c r="O221" s="20"/>
    </row>
    <row r="222" spans="1:16" x14ac:dyDescent="0.15">
      <c r="A222" s="315">
        <v>45839</v>
      </c>
      <c r="B222" s="290">
        <v>4702</v>
      </c>
      <c r="C222" s="290">
        <v>15612</v>
      </c>
      <c r="D222" s="290">
        <v>16101</v>
      </c>
      <c r="E222" s="290">
        <v>479</v>
      </c>
      <c r="F222" s="290">
        <v>14262</v>
      </c>
      <c r="G222" s="290">
        <v>3247</v>
      </c>
      <c r="H222" s="290">
        <v>24957</v>
      </c>
      <c r="I222" s="290">
        <v>11677</v>
      </c>
      <c r="J222" s="290">
        <v>109683</v>
      </c>
      <c r="K222" s="290">
        <v>5951</v>
      </c>
      <c r="L222" s="290">
        <v>15266</v>
      </c>
      <c r="M222" s="290">
        <v>10840</v>
      </c>
      <c r="N222" s="290">
        <v>9280</v>
      </c>
      <c r="O222" s="20"/>
    </row>
    <row r="223" spans="1:16" x14ac:dyDescent="0.15">
      <c r="A223" s="315">
        <v>45870</v>
      </c>
      <c r="B223" s="290">
        <v>4506</v>
      </c>
      <c r="C223" s="290">
        <v>12956</v>
      </c>
      <c r="D223" s="290">
        <v>13020</v>
      </c>
      <c r="E223" s="290">
        <v>1024</v>
      </c>
      <c r="F223" s="290">
        <v>12577</v>
      </c>
      <c r="G223" s="290">
        <v>2468</v>
      </c>
      <c r="H223" s="290">
        <v>20576</v>
      </c>
      <c r="I223" s="290">
        <v>5622</v>
      </c>
      <c r="J223" s="290">
        <v>237865</v>
      </c>
      <c r="K223" s="290">
        <v>5762</v>
      </c>
      <c r="L223" s="290">
        <v>11119</v>
      </c>
      <c r="M223" s="290">
        <v>16971</v>
      </c>
      <c r="N223" s="290">
        <v>7849</v>
      </c>
      <c r="O223" s="20"/>
    </row>
    <row r="224" spans="1:16" x14ac:dyDescent="0.15">
      <c r="A224" s="315">
        <v>45901</v>
      </c>
      <c r="B224" s="290">
        <v>12269</v>
      </c>
      <c r="C224" s="290">
        <v>17013</v>
      </c>
      <c r="D224" s="290">
        <v>16029</v>
      </c>
      <c r="E224" s="290">
        <v>548</v>
      </c>
      <c r="F224" s="290">
        <v>32687</v>
      </c>
      <c r="G224" s="290">
        <v>3151</v>
      </c>
      <c r="H224" s="290">
        <v>33116</v>
      </c>
      <c r="I224" s="290">
        <v>2747</v>
      </c>
      <c r="J224" s="290">
        <v>291442</v>
      </c>
      <c r="K224" s="290">
        <v>8339</v>
      </c>
      <c r="L224" s="290">
        <v>14095</v>
      </c>
      <c r="M224" s="290">
        <v>14265</v>
      </c>
      <c r="N224" s="290">
        <v>8983</v>
      </c>
      <c r="O224" s="20"/>
    </row>
    <row r="225" spans="1:15" x14ac:dyDescent="0.15">
      <c r="A225" s="130" t="s">
        <v>54</v>
      </c>
      <c r="B225" s="111">
        <f>SUM(B213:B224)</f>
        <v>113735</v>
      </c>
      <c r="C225" s="111">
        <f t="shared" ref="C225:N225" si="195">SUM(C213:C224)</f>
        <v>140649</v>
      </c>
      <c r="D225" s="111">
        <f t="shared" si="195"/>
        <v>151377</v>
      </c>
      <c r="E225" s="111">
        <f t="shared" si="195"/>
        <v>12925</v>
      </c>
      <c r="F225" s="111">
        <f t="shared" si="195"/>
        <v>221525</v>
      </c>
      <c r="G225" s="111">
        <f t="shared" si="195"/>
        <v>50467</v>
      </c>
      <c r="H225" s="111">
        <f t="shared" si="195"/>
        <v>361841</v>
      </c>
      <c r="I225" s="111">
        <f t="shared" si="195"/>
        <v>32045</v>
      </c>
      <c r="J225" s="111">
        <f t="shared" si="195"/>
        <v>2003001</v>
      </c>
      <c r="K225" s="111">
        <f t="shared" si="195"/>
        <v>89719</v>
      </c>
      <c r="L225" s="111">
        <f t="shared" si="195"/>
        <v>159306</v>
      </c>
      <c r="M225" s="111">
        <f t="shared" si="195"/>
        <v>131905</v>
      </c>
      <c r="N225" s="111">
        <f t="shared" si="195"/>
        <v>86975</v>
      </c>
      <c r="O225" s="20"/>
    </row>
    <row r="226" spans="1:15" x14ac:dyDescent="0.15">
      <c r="A226" s="131" t="s">
        <v>29</v>
      </c>
      <c r="B226" s="105">
        <f>AVERAGE(B213:B224)</f>
        <v>9477.9166666666661</v>
      </c>
      <c r="C226" s="105">
        <f t="shared" ref="C226:K226" si="196">AVERAGE(C213:C224)</f>
        <v>11720.75</v>
      </c>
      <c r="D226" s="105">
        <f t="shared" si="196"/>
        <v>12614.75</v>
      </c>
      <c r="E226" s="105"/>
      <c r="F226" s="105">
        <f t="shared" si="196"/>
        <v>18460.416666666668</v>
      </c>
      <c r="G226" s="105">
        <f t="shared" si="196"/>
        <v>4205.583333333333</v>
      </c>
      <c r="H226" s="105">
        <f t="shared" si="196"/>
        <v>30153.416666666668</v>
      </c>
      <c r="I226" s="105">
        <f t="shared" si="196"/>
        <v>2670.4166666666665</v>
      </c>
      <c r="J226" s="105">
        <f t="shared" si="196"/>
        <v>166916.75</v>
      </c>
      <c r="K226" s="105">
        <f t="shared" si="196"/>
        <v>7476.583333333333</v>
      </c>
      <c r="L226" s="105">
        <f>AVERAGE(L213:L224)</f>
        <v>13275.5</v>
      </c>
      <c r="M226" s="105">
        <f>AVERAGE(M213:M224)</f>
        <v>10992.083333333334</v>
      </c>
      <c r="N226" s="105">
        <f>AVERAGE(N213:N224)</f>
        <v>7247.916666666667</v>
      </c>
    </row>
    <row r="227" spans="1:15" x14ac:dyDescent="0.15">
      <c r="A227" s="294" t="s">
        <v>210</v>
      </c>
      <c r="B227" s="290">
        <v>113735</v>
      </c>
      <c r="C227" s="290">
        <v>140649</v>
      </c>
      <c r="D227" s="290">
        <v>151377</v>
      </c>
      <c r="E227" s="290">
        <v>12925</v>
      </c>
      <c r="F227" s="290">
        <v>221525</v>
      </c>
      <c r="G227" s="290">
        <v>50467</v>
      </c>
      <c r="H227" s="290">
        <v>361841</v>
      </c>
      <c r="I227" s="290">
        <v>32045</v>
      </c>
      <c r="J227" s="290">
        <v>2003001</v>
      </c>
      <c r="K227" s="290">
        <v>89719</v>
      </c>
      <c r="L227" s="290">
        <v>159306</v>
      </c>
      <c r="M227" s="290">
        <v>131905</v>
      </c>
      <c r="N227" s="290">
        <v>86975</v>
      </c>
    </row>
    <row r="228" spans="1:15" x14ac:dyDescent="0.15">
      <c r="A228" s="213" t="s">
        <v>168</v>
      </c>
      <c r="B228" s="210">
        <v>40605</v>
      </c>
      <c r="C228" s="210">
        <v>61709</v>
      </c>
      <c r="D228" s="210">
        <v>141136</v>
      </c>
      <c r="E228" s="210"/>
      <c r="F228" s="210">
        <v>219123</v>
      </c>
      <c r="G228" s="210">
        <v>14713</v>
      </c>
      <c r="H228" s="210">
        <v>145071</v>
      </c>
      <c r="I228" s="210">
        <v>295965</v>
      </c>
      <c r="J228" s="210">
        <v>1024412</v>
      </c>
      <c r="K228" s="210">
        <v>37621</v>
      </c>
      <c r="L228" s="210">
        <v>42246</v>
      </c>
      <c r="M228" s="210">
        <v>68164</v>
      </c>
      <c r="N228" s="210">
        <v>82182</v>
      </c>
    </row>
    <row r="229" spans="1:15" x14ac:dyDescent="0.15">
      <c r="B229" s="378" t="s">
        <v>56</v>
      </c>
      <c r="C229" s="379"/>
      <c r="D229" s="379"/>
      <c r="E229" s="379"/>
      <c r="F229" s="379"/>
      <c r="G229" s="379"/>
      <c r="H229" s="379"/>
      <c r="I229" s="379"/>
      <c r="J229" s="379"/>
      <c r="K229" s="379"/>
      <c r="L229" s="379"/>
      <c r="M229" s="379"/>
      <c r="N229" s="20"/>
    </row>
    <row r="230" spans="1:15" ht="28" x14ac:dyDescent="0.15">
      <c r="A230" s="120" t="s">
        <v>16</v>
      </c>
      <c r="B230" s="121" t="s">
        <v>3</v>
      </c>
      <c r="C230" s="121" t="s">
        <v>4</v>
      </c>
      <c r="D230" s="121" t="s">
        <v>5</v>
      </c>
      <c r="E230" s="121" t="s">
        <v>222</v>
      </c>
      <c r="F230" s="121" t="s">
        <v>6</v>
      </c>
      <c r="G230" s="121" t="s">
        <v>7</v>
      </c>
      <c r="H230" s="122" t="s">
        <v>14</v>
      </c>
      <c r="I230" s="123" t="s">
        <v>114</v>
      </c>
      <c r="J230" s="122" t="s">
        <v>8</v>
      </c>
      <c r="K230" s="122" t="str">
        <f>K193</f>
        <v>OB.DAAC</v>
      </c>
      <c r="L230" s="122" t="s">
        <v>9</v>
      </c>
      <c r="M230" s="122" t="s">
        <v>12</v>
      </c>
      <c r="N230" s="122" t="s">
        <v>10</v>
      </c>
      <c r="O230" s="20"/>
    </row>
    <row r="231" spans="1:15" x14ac:dyDescent="0.15">
      <c r="A231" s="124" t="str">
        <f t="shared" ref="A231:A242" si="197">A141</f>
        <v>2024-10</v>
      </c>
      <c r="B231" s="125">
        <f t="shared" ref="B231:E242" si="198">B194-B$207</f>
        <v>-6337.6666666666661</v>
      </c>
      <c r="C231" s="125">
        <f t="shared" si="198"/>
        <v>44</v>
      </c>
      <c r="D231" s="125">
        <f t="shared" si="198"/>
        <v>-1334</v>
      </c>
      <c r="E231" s="125">
        <f t="shared" si="198"/>
        <v>0</v>
      </c>
      <c r="F231" s="125">
        <f t="shared" ref="F231:N231" si="199">F194-F$207</f>
        <v>-1412.4166666666679</v>
      </c>
      <c r="G231" s="125">
        <f t="shared" si="199"/>
        <v>-32.083333333333258</v>
      </c>
      <c r="H231" s="125">
        <f t="shared" si="199"/>
        <v>-174.5</v>
      </c>
      <c r="I231" s="125">
        <f t="shared" si="199"/>
        <v>149.5</v>
      </c>
      <c r="J231" s="125">
        <f t="shared" si="199"/>
        <v>-5037.5833333333358</v>
      </c>
      <c r="K231" s="125">
        <f t="shared" si="199"/>
        <v>4207</v>
      </c>
      <c r="L231" s="125">
        <f t="shared" si="199"/>
        <v>206</v>
      </c>
      <c r="M231" s="125">
        <f t="shared" si="199"/>
        <v>-364.25</v>
      </c>
      <c r="N231" s="125">
        <f t="shared" si="199"/>
        <v>266.83333333333394</v>
      </c>
      <c r="O231" s="20"/>
    </row>
    <row r="232" spans="1:15" x14ac:dyDescent="0.15">
      <c r="A232" s="124" t="str">
        <f t="shared" si="197"/>
        <v>2024-11</v>
      </c>
      <c r="B232" s="125">
        <f t="shared" si="198"/>
        <v>-6079.6666666666661</v>
      </c>
      <c r="C232" s="125">
        <f t="shared" si="198"/>
        <v>3579</v>
      </c>
      <c r="D232" s="125">
        <f t="shared" si="198"/>
        <v>32</v>
      </c>
      <c r="E232" s="125">
        <f t="shared" ref="E232" si="200">E195-E$207</f>
        <v>0</v>
      </c>
      <c r="F232" s="125">
        <f t="shared" ref="F232:J242" si="201">F195-F$207</f>
        <v>1991.5833333333321</v>
      </c>
      <c r="G232" s="125">
        <f t="shared" si="201"/>
        <v>1.9166666666667425</v>
      </c>
      <c r="H232" s="125">
        <f t="shared" si="201"/>
        <v>192.5</v>
      </c>
      <c r="I232" s="125">
        <f t="shared" si="201"/>
        <v>2441.5</v>
      </c>
      <c r="J232" s="125">
        <f t="shared" si="201"/>
        <v>124.41666666666424</v>
      </c>
      <c r="K232" s="125">
        <f t="shared" ref="K232:K242" si="202">K195-K$207</f>
        <v>3893</v>
      </c>
      <c r="L232" s="125">
        <f t="shared" ref="L232:N242" si="203">L195-L$207</f>
        <v>981</v>
      </c>
      <c r="M232" s="125">
        <f t="shared" si="203"/>
        <v>406.75</v>
      </c>
      <c r="N232" s="125">
        <f t="shared" si="203"/>
        <v>1580.8333333333339</v>
      </c>
      <c r="O232" s="20"/>
    </row>
    <row r="233" spans="1:15" x14ac:dyDescent="0.15">
      <c r="A233" s="124" t="str">
        <f t="shared" si="197"/>
        <v>2024-12</v>
      </c>
      <c r="B233" s="125">
        <f t="shared" si="198"/>
        <v>-6610.6666666666661</v>
      </c>
      <c r="C233" s="125">
        <f t="shared" si="198"/>
        <v>-7207</v>
      </c>
      <c r="D233" s="125">
        <f t="shared" si="198"/>
        <v>-285</v>
      </c>
      <c r="E233" s="125">
        <f t="shared" ref="E233" si="204">E196-E$207</f>
        <v>0</v>
      </c>
      <c r="F233" s="125">
        <f t="shared" si="201"/>
        <v>-3603.4166666666679</v>
      </c>
      <c r="G233" s="125">
        <f t="shared" si="201"/>
        <v>-395.08333333333326</v>
      </c>
      <c r="H233" s="125">
        <f t="shared" si="201"/>
        <v>-2120.5</v>
      </c>
      <c r="I233" s="125">
        <f t="shared" si="201"/>
        <v>-2051.5</v>
      </c>
      <c r="J233" s="125">
        <f t="shared" si="201"/>
        <v>-4125.5833333333358</v>
      </c>
      <c r="K233" s="125">
        <f t="shared" si="202"/>
        <v>946</v>
      </c>
      <c r="L233" s="125">
        <f t="shared" si="203"/>
        <v>-1095</v>
      </c>
      <c r="M233" s="125">
        <f t="shared" si="203"/>
        <v>269.75</v>
      </c>
      <c r="N233" s="125">
        <f t="shared" si="203"/>
        <v>-1233.1666666666661</v>
      </c>
      <c r="O233" s="20"/>
    </row>
    <row r="234" spans="1:15" x14ac:dyDescent="0.15">
      <c r="A234" s="124" t="str">
        <f t="shared" si="197"/>
        <v>2025-01</v>
      </c>
      <c r="B234" s="125">
        <f t="shared" si="198"/>
        <v>-6803.6666666666661</v>
      </c>
      <c r="C234" s="125">
        <f t="shared" si="198"/>
        <v>-9996</v>
      </c>
      <c r="D234" s="125">
        <f t="shared" si="198"/>
        <v>-1250</v>
      </c>
      <c r="E234" s="125">
        <f t="shared" ref="E234" si="205">E197-E$207</f>
        <v>0</v>
      </c>
      <c r="F234" s="125">
        <f t="shared" si="201"/>
        <v>-4065.4166666666679</v>
      </c>
      <c r="G234" s="125">
        <f t="shared" si="201"/>
        <v>50.916666666666742</v>
      </c>
      <c r="H234" s="125">
        <f t="shared" si="201"/>
        <v>-1349.5</v>
      </c>
      <c r="I234" s="125">
        <f t="shared" si="201"/>
        <v>-3644.5</v>
      </c>
      <c r="J234" s="125">
        <f t="shared" si="201"/>
        <v>-2184.5833333333358</v>
      </c>
      <c r="K234" s="125">
        <f t="shared" si="202"/>
        <v>305</v>
      </c>
      <c r="L234" s="125">
        <f t="shared" si="203"/>
        <v>-202</v>
      </c>
      <c r="M234" s="125">
        <f t="shared" si="203"/>
        <v>-2074.25</v>
      </c>
      <c r="N234" s="125">
        <f t="shared" si="203"/>
        <v>-599.16666666666606</v>
      </c>
      <c r="O234" s="20"/>
    </row>
    <row r="235" spans="1:15" x14ac:dyDescent="0.15">
      <c r="A235" s="124" t="str">
        <f t="shared" si="197"/>
        <v>2025-02</v>
      </c>
      <c r="B235" s="125">
        <f t="shared" si="198"/>
        <v>-5142.6666666666661</v>
      </c>
      <c r="C235" s="125">
        <f t="shared" si="198"/>
        <v>-899</v>
      </c>
      <c r="D235" s="125">
        <f t="shared" si="198"/>
        <v>-551</v>
      </c>
      <c r="E235" s="125">
        <f t="shared" ref="E235" si="206">E198-E$207</f>
        <v>0</v>
      </c>
      <c r="F235" s="125">
        <f t="shared" si="201"/>
        <v>-187.41666666666788</v>
      </c>
      <c r="G235" s="125">
        <f t="shared" si="201"/>
        <v>-81.083333333333258</v>
      </c>
      <c r="H235" s="125">
        <f t="shared" si="201"/>
        <v>1058.5</v>
      </c>
      <c r="I235" s="125">
        <f t="shared" si="201"/>
        <v>-238.5</v>
      </c>
      <c r="J235" s="125">
        <f t="shared" si="201"/>
        <v>-1944.5833333333358</v>
      </c>
      <c r="K235" s="125">
        <f t="shared" si="202"/>
        <v>1553</v>
      </c>
      <c r="L235" s="125">
        <f t="shared" si="203"/>
        <v>-5</v>
      </c>
      <c r="M235" s="125">
        <f t="shared" si="203"/>
        <v>-3348.25</v>
      </c>
      <c r="N235" s="125">
        <f t="shared" si="203"/>
        <v>1017.8333333333339</v>
      </c>
      <c r="O235" s="20"/>
    </row>
    <row r="236" spans="1:15" x14ac:dyDescent="0.15">
      <c r="A236" s="124" t="str">
        <f t="shared" si="197"/>
        <v>2025-03</v>
      </c>
      <c r="B236" s="125">
        <f t="shared" si="198"/>
        <v>-5810.6666666666661</v>
      </c>
      <c r="C236" s="125">
        <f t="shared" si="198"/>
        <v>9217</v>
      </c>
      <c r="D236" s="125">
        <f t="shared" si="198"/>
        <v>2084</v>
      </c>
      <c r="E236" s="125">
        <f t="shared" ref="E236" si="207">E199-E$207</f>
        <v>0</v>
      </c>
      <c r="F236" s="125">
        <f t="shared" si="201"/>
        <v>6578.5833333333321</v>
      </c>
      <c r="G236" s="125">
        <f t="shared" si="201"/>
        <v>174.91666666666674</v>
      </c>
      <c r="H236" s="125">
        <f t="shared" si="201"/>
        <v>3200.5</v>
      </c>
      <c r="I236" s="125">
        <f t="shared" si="201"/>
        <v>4585.5</v>
      </c>
      <c r="J236" s="125">
        <f t="shared" si="201"/>
        <v>1744.4166666666642</v>
      </c>
      <c r="K236" s="125">
        <f t="shared" si="202"/>
        <v>4283</v>
      </c>
      <c r="L236" s="125">
        <f t="shared" si="203"/>
        <v>702</v>
      </c>
      <c r="M236" s="125">
        <f t="shared" si="203"/>
        <v>796.75</v>
      </c>
      <c r="N236" s="125">
        <f t="shared" si="203"/>
        <v>2794.8333333333339</v>
      </c>
      <c r="O236" s="20"/>
    </row>
    <row r="237" spans="1:15" x14ac:dyDescent="0.15">
      <c r="A237" s="124" t="str">
        <f t="shared" si="197"/>
        <v>2025-04</v>
      </c>
      <c r="B237" s="125">
        <f t="shared" si="198"/>
        <v>-6159.6666666666661</v>
      </c>
      <c r="C237" s="125">
        <f t="shared" si="198"/>
        <v>4603</v>
      </c>
      <c r="D237" s="125">
        <f t="shared" si="198"/>
        <v>849</v>
      </c>
      <c r="E237" s="125">
        <f t="shared" ref="E237" si="208">E200-E$207</f>
        <v>0</v>
      </c>
      <c r="F237" s="125">
        <f t="shared" si="201"/>
        <v>3448.5833333333321</v>
      </c>
      <c r="G237" s="125">
        <f t="shared" si="201"/>
        <v>-86.083333333333258</v>
      </c>
      <c r="H237" s="125">
        <f t="shared" si="201"/>
        <v>1966.5</v>
      </c>
      <c r="I237" s="125">
        <f t="shared" si="201"/>
        <v>3637.5</v>
      </c>
      <c r="J237" s="125">
        <f t="shared" si="201"/>
        <v>-4733.5833333333358</v>
      </c>
      <c r="K237" s="125">
        <f t="shared" si="202"/>
        <v>2026</v>
      </c>
      <c r="L237" s="125">
        <f t="shared" si="203"/>
        <v>487</v>
      </c>
      <c r="M237" s="125">
        <f t="shared" si="203"/>
        <v>586.75</v>
      </c>
      <c r="N237" s="125">
        <f t="shared" si="203"/>
        <v>1793.8333333333339</v>
      </c>
      <c r="O237" s="20"/>
    </row>
    <row r="238" spans="1:15" x14ac:dyDescent="0.15">
      <c r="A238" s="124" t="str">
        <f t="shared" si="197"/>
        <v>2025-05</v>
      </c>
      <c r="B238" s="125">
        <f t="shared" si="198"/>
        <v>22178.333333333336</v>
      </c>
      <c r="C238" s="125">
        <f t="shared" si="198"/>
        <v>6820</v>
      </c>
      <c r="D238" s="125">
        <f t="shared" si="198"/>
        <v>1901</v>
      </c>
      <c r="E238" s="125">
        <f t="shared" ref="E238" si="209">E201-E$207</f>
        <v>0</v>
      </c>
      <c r="F238" s="125">
        <f t="shared" si="201"/>
        <v>3501.5833333333321</v>
      </c>
      <c r="G238" s="125">
        <f t="shared" si="201"/>
        <v>79.916666666666742</v>
      </c>
      <c r="H238" s="125">
        <f t="shared" si="201"/>
        <v>999.5</v>
      </c>
      <c r="I238" s="125">
        <f t="shared" si="201"/>
        <v>1212.5</v>
      </c>
      <c r="J238" s="125">
        <f t="shared" si="201"/>
        <v>-4661.5833333333358</v>
      </c>
      <c r="K238" s="125">
        <f t="shared" si="202"/>
        <v>-764</v>
      </c>
      <c r="L238" s="125">
        <f t="shared" si="203"/>
        <v>277</v>
      </c>
      <c r="M238" s="125">
        <f t="shared" si="203"/>
        <v>1529.75</v>
      </c>
      <c r="N238" s="125">
        <f t="shared" si="203"/>
        <v>1009.8333333333339</v>
      </c>
      <c r="O238" s="20"/>
    </row>
    <row r="239" spans="1:15" x14ac:dyDescent="0.15">
      <c r="A239" s="124" t="str">
        <f t="shared" si="197"/>
        <v>2025-06</v>
      </c>
      <c r="B239" s="125">
        <f t="shared" si="198"/>
        <v>179.33333333333394</v>
      </c>
      <c r="C239" s="125">
        <f t="shared" si="198"/>
        <v>-39</v>
      </c>
      <c r="D239" s="125">
        <f t="shared" si="198"/>
        <v>183</v>
      </c>
      <c r="E239" s="125">
        <f t="shared" ref="E239" si="210">E202-E$207</f>
        <v>0</v>
      </c>
      <c r="F239" s="125">
        <f t="shared" si="201"/>
        <v>-563.41666666666788</v>
      </c>
      <c r="G239" s="125">
        <f t="shared" si="201"/>
        <v>95.916666666666742</v>
      </c>
      <c r="H239" s="125">
        <f t="shared" si="201"/>
        <v>-905.5</v>
      </c>
      <c r="I239" s="125">
        <f t="shared" si="201"/>
        <v>-2496.5</v>
      </c>
      <c r="J239" s="125">
        <f t="shared" si="201"/>
        <v>-3473.5833333333358</v>
      </c>
      <c r="K239" s="125">
        <f t="shared" si="202"/>
        <v>-2192</v>
      </c>
      <c r="L239" s="125">
        <f t="shared" si="203"/>
        <v>-154</v>
      </c>
      <c r="M239" s="125">
        <f t="shared" si="203"/>
        <v>515.75</v>
      </c>
      <c r="N239" s="125">
        <f t="shared" si="203"/>
        <v>-1371.1666666666661</v>
      </c>
      <c r="O239" s="20"/>
    </row>
    <row r="240" spans="1:15" x14ac:dyDescent="0.15">
      <c r="A240" s="124" t="str">
        <f t="shared" si="197"/>
        <v>2025-07</v>
      </c>
      <c r="B240" s="125">
        <f t="shared" si="198"/>
        <v>5984.3333333333339</v>
      </c>
      <c r="C240" s="125">
        <f t="shared" si="198"/>
        <v>-4433</v>
      </c>
      <c r="D240" s="125">
        <f t="shared" si="198"/>
        <v>-546</v>
      </c>
      <c r="E240" s="125">
        <f t="shared" ref="E240" si="211">E203-E$207</f>
        <v>0</v>
      </c>
      <c r="F240" s="125">
        <f t="shared" si="201"/>
        <v>-2485.4166666666679</v>
      </c>
      <c r="G240" s="125">
        <f t="shared" si="201"/>
        <v>115.91666666666674</v>
      </c>
      <c r="H240" s="125">
        <f t="shared" si="201"/>
        <v>-930.5</v>
      </c>
      <c r="I240" s="125">
        <f t="shared" si="201"/>
        <v>-534.5</v>
      </c>
      <c r="J240" s="125">
        <f t="shared" si="201"/>
        <v>8419.4166666666642</v>
      </c>
      <c r="K240" s="125">
        <f t="shared" si="202"/>
        <v>-6465</v>
      </c>
      <c r="L240" s="125">
        <f t="shared" si="203"/>
        <v>-682</v>
      </c>
      <c r="M240" s="125">
        <f t="shared" si="203"/>
        <v>111.75</v>
      </c>
      <c r="N240" s="125">
        <f t="shared" si="203"/>
        <v>-2082.1666666666661</v>
      </c>
      <c r="O240" s="20"/>
    </row>
    <row r="241" spans="1:36" x14ac:dyDescent="0.15">
      <c r="A241" s="124" t="str">
        <f t="shared" si="197"/>
        <v>2025-08</v>
      </c>
      <c r="B241" s="125">
        <f t="shared" si="198"/>
        <v>10332.333333333334</v>
      </c>
      <c r="C241" s="125">
        <f t="shared" si="198"/>
        <v>-2403</v>
      </c>
      <c r="D241" s="125">
        <f t="shared" si="198"/>
        <v>-441</v>
      </c>
      <c r="E241" s="125">
        <f t="shared" ref="E241" si="212">E204-E$207</f>
        <v>0</v>
      </c>
      <c r="F241" s="125">
        <f t="shared" si="201"/>
        <v>-2399.4166666666679</v>
      </c>
      <c r="G241" s="125">
        <f t="shared" si="201"/>
        <v>97.916666666666742</v>
      </c>
      <c r="H241" s="125">
        <f t="shared" si="201"/>
        <v>-266.5</v>
      </c>
      <c r="I241" s="125">
        <f t="shared" si="201"/>
        <v>-1962.5</v>
      </c>
      <c r="J241" s="125">
        <f t="shared" si="201"/>
        <v>8227.4166666666642</v>
      </c>
      <c r="K241" s="125">
        <f t="shared" si="202"/>
        <v>-7052</v>
      </c>
      <c r="L241" s="125">
        <f t="shared" si="203"/>
        <v>-573</v>
      </c>
      <c r="M241" s="125">
        <f t="shared" si="203"/>
        <v>409.75</v>
      </c>
      <c r="N241" s="125">
        <f t="shared" si="203"/>
        <v>-3016.1666666666661</v>
      </c>
    </row>
    <row r="242" spans="1:36" x14ac:dyDescent="0.15">
      <c r="A242" s="124" t="str">
        <f t="shared" si="197"/>
        <v>2025-09</v>
      </c>
      <c r="B242" s="125">
        <f t="shared" si="198"/>
        <v>4270.3333333333339</v>
      </c>
      <c r="C242" s="125">
        <f t="shared" si="198"/>
        <v>714</v>
      </c>
      <c r="D242" s="125">
        <f t="shared" si="198"/>
        <v>-642</v>
      </c>
      <c r="E242" s="125">
        <f t="shared" ref="E242" si="213">E205-E$207</f>
        <v>0</v>
      </c>
      <c r="F242" s="125">
        <f t="shared" si="201"/>
        <v>-803.41666666666788</v>
      </c>
      <c r="G242" s="125">
        <f t="shared" si="201"/>
        <v>-23.083333333333258</v>
      </c>
      <c r="H242" s="125">
        <f t="shared" si="201"/>
        <v>-1670.5</v>
      </c>
      <c r="I242" s="125">
        <f t="shared" si="201"/>
        <v>-1098.5</v>
      </c>
      <c r="J242" s="125">
        <f t="shared" si="201"/>
        <v>7645.4166666666642</v>
      </c>
      <c r="K242" s="125">
        <f t="shared" si="202"/>
        <v>-740</v>
      </c>
      <c r="L242" s="125">
        <f t="shared" si="203"/>
        <v>58</v>
      </c>
      <c r="M242" s="125">
        <f t="shared" si="203"/>
        <v>1159.75</v>
      </c>
      <c r="N242" s="125">
        <f t="shared" si="203"/>
        <v>-162.16666666666606</v>
      </c>
    </row>
    <row r="243" spans="1:36" x14ac:dyDescent="0.15">
      <c r="A243" s="97" t="s">
        <v>11</v>
      </c>
      <c r="B243" s="20">
        <f>SUM(B231:B242)</f>
        <v>1.6370904631912708E-11</v>
      </c>
      <c r="C243" s="20">
        <f t="shared" ref="C243:D243" si="214">SUM(C231:C242)</f>
        <v>0</v>
      </c>
      <c r="D243" s="20">
        <f t="shared" si="214"/>
        <v>0</v>
      </c>
      <c r="E243" s="20"/>
      <c r="F243" s="20">
        <f t="shared" ref="F243:N243" si="215">SUM(F231:F242)</f>
        <v>-1.4551915228366852E-11</v>
      </c>
      <c r="G243" s="20">
        <f t="shared" si="215"/>
        <v>9.0949470177292824E-13</v>
      </c>
      <c r="H243" s="20">
        <f t="shared" si="215"/>
        <v>0</v>
      </c>
      <c r="I243" s="20">
        <f t="shared" si="215"/>
        <v>0</v>
      </c>
      <c r="J243" s="20">
        <f t="shared" si="215"/>
        <v>-2.9103830456733704E-11</v>
      </c>
      <c r="K243" s="20">
        <f t="shared" si="215"/>
        <v>0</v>
      </c>
      <c r="L243" s="20">
        <f t="shared" si="215"/>
        <v>0</v>
      </c>
      <c r="M243" s="20">
        <f t="shared" si="215"/>
        <v>0</v>
      </c>
      <c r="N243" s="20">
        <f t="shared" si="215"/>
        <v>7.2759576141834259E-12</v>
      </c>
    </row>
    <row r="244" spans="1:36" x14ac:dyDescent="0.15">
      <c r="B244" s="20"/>
      <c r="C244" s="20"/>
      <c r="D244" s="20"/>
      <c r="E244" s="20"/>
      <c r="F244" s="20"/>
      <c r="G244" s="20"/>
      <c r="H244" s="20"/>
      <c r="I244" s="20"/>
      <c r="J244" s="20"/>
      <c r="K244" s="20"/>
      <c r="L244" s="20"/>
      <c r="M244" s="20"/>
      <c r="N244" s="20"/>
      <c r="O244" s="375" t="s">
        <v>7</v>
      </c>
      <c r="P244" s="376"/>
      <c r="Q244" s="377"/>
      <c r="R244" s="375" t="s">
        <v>50</v>
      </c>
      <c r="S244" s="376"/>
      <c r="T244" s="377"/>
      <c r="U244" s="375" t="s">
        <v>114</v>
      </c>
      <c r="V244" s="376"/>
      <c r="W244" s="377"/>
      <c r="X244" s="375" t="s">
        <v>8</v>
      </c>
      <c r="Y244" s="376"/>
      <c r="Z244" s="377"/>
      <c r="AA244" s="375" t="s">
        <v>9</v>
      </c>
      <c r="AB244" s="376"/>
      <c r="AC244" s="377"/>
      <c r="AD244" s="375" t="s">
        <v>12</v>
      </c>
      <c r="AE244" s="376"/>
      <c r="AF244" s="377"/>
      <c r="AG244" s="375" t="s">
        <v>10</v>
      </c>
      <c r="AH244" s="376"/>
      <c r="AI244" s="377"/>
    </row>
    <row r="245" spans="1:36" x14ac:dyDescent="0.15">
      <c r="B245" s="380" t="s">
        <v>57</v>
      </c>
      <c r="C245" s="381"/>
      <c r="D245" s="381"/>
      <c r="E245" s="381"/>
      <c r="F245" s="381"/>
      <c r="G245" s="381"/>
      <c r="H245" s="381"/>
      <c r="I245" s="381"/>
      <c r="J245" s="381"/>
      <c r="K245" s="381"/>
      <c r="L245" s="381"/>
      <c r="M245" s="381"/>
      <c r="N245" s="81"/>
      <c r="O245" s="216" t="s">
        <v>52</v>
      </c>
      <c r="P245" s="216" t="s">
        <v>53</v>
      </c>
      <c r="Q245" s="216" t="s">
        <v>51</v>
      </c>
      <c r="R245" s="216" t="s">
        <v>52</v>
      </c>
      <c r="S245" s="216" t="s">
        <v>53</v>
      </c>
      <c r="T245" s="216" t="s">
        <v>51</v>
      </c>
      <c r="U245" s="216" t="s">
        <v>52</v>
      </c>
      <c r="V245" s="216" t="s">
        <v>53</v>
      </c>
      <c r="W245" s="216" t="s">
        <v>51</v>
      </c>
      <c r="X245" s="216" t="s">
        <v>52</v>
      </c>
      <c r="Y245" s="216" t="s">
        <v>53</v>
      </c>
      <c r="Z245" s="216" t="s">
        <v>51</v>
      </c>
      <c r="AA245" s="216" t="s">
        <v>52</v>
      </c>
      <c r="AB245" s="216" t="s">
        <v>53</v>
      </c>
      <c r="AC245" s="216" t="s">
        <v>51</v>
      </c>
      <c r="AD245" s="216" t="s">
        <v>52</v>
      </c>
      <c r="AE245" s="216" t="s">
        <v>53</v>
      </c>
      <c r="AF245" s="216" t="s">
        <v>51</v>
      </c>
      <c r="AG245" s="216" t="s">
        <v>52</v>
      </c>
      <c r="AH245" s="216" t="s">
        <v>53</v>
      </c>
      <c r="AI245" s="216" t="s">
        <v>51</v>
      </c>
      <c r="AJ245" s="32" t="s">
        <v>149</v>
      </c>
    </row>
    <row r="246" spans="1:36" ht="28" x14ac:dyDescent="0.15">
      <c r="A246" s="126" t="s">
        <v>16</v>
      </c>
      <c r="B246" s="127" t="s">
        <v>3</v>
      </c>
      <c r="C246" s="127" t="s">
        <v>4</v>
      </c>
      <c r="D246" s="127" t="s">
        <v>5</v>
      </c>
      <c r="E246" s="127" t="s">
        <v>222</v>
      </c>
      <c r="F246" s="127" t="s">
        <v>6</v>
      </c>
      <c r="G246" s="127" t="s">
        <v>7</v>
      </c>
      <c r="H246" s="127" t="s">
        <v>14</v>
      </c>
      <c r="I246" s="128" t="s">
        <v>114</v>
      </c>
      <c r="J246" s="127" t="s">
        <v>8</v>
      </c>
      <c r="K246" s="129" t="s">
        <v>17</v>
      </c>
      <c r="L246" s="127" t="s">
        <v>9</v>
      </c>
      <c r="M246" s="127" t="s">
        <v>12</v>
      </c>
      <c r="N246" s="127" t="s">
        <v>10</v>
      </c>
      <c r="O246" s="217"/>
      <c r="P246" s="217"/>
      <c r="Q246" s="217"/>
      <c r="R246" s="217">
        <v>74193</v>
      </c>
      <c r="S246" s="217">
        <v>735937</v>
      </c>
      <c r="T246" s="217">
        <v>41991</v>
      </c>
      <c r="U246" s="217">
        <v>53574</v>
      </c>
      <c r="V246" s="217">
        <v>979938</v>
      </c>
      <c r="W246" s="217">
        <v>17740</v>
      </c>
      <c r="X246" s="217">
        <v>257646</v>
      </c>
      <c r="Y246" s="217">
        <v>2285747</v>
      </c>
      <c r="Z246" s="217">
        <v>187325</v>
      </c>
      <c r="AA246" s="217">
        <v>11242</v>
      </c>
      <c r="AB246" s="217">
        <v>117277</v>
      </c>
      <c r="AC246" s="217">
        <v>7857</v>
      </c>
      <c r="AD246" s="217">
        <v>43722</v>
      </c>
      <c r="AE246" s="217">
        <v>479754</v>
      </c>
      <c r="AF246" s="217">
        <v>24748</v>
      </c>
      <c r="AG246" s="217"/>
      <c r="AH246" s="217"/>
      <c r="AI246" s="217"/>
    </row>
    <row r="247" spans="1:36" x14ac:dyDescent="0.15">
      <c r="A247" s="124" t="str">
        <f>A231</f>
        <v>2024-10</v>
      </c>
      <c r="B247" s="125"/>
      <c r="C247" s="125"/>
      <c r="D247" s="125"/>
      <c r="E247" s="125"/>
      <c r="F247" s="125"/>
      <c r="G247" s="125"/>
      <c r="H247" s="125"/>
      <c r="I247" s="125"/>
      <c r="J247" s="125"/>
      <c r="K247" s="125"/>
      <c r="L247" s="125"/>
      <c r="M247" s="125"/>
      <c r="N247" s="125"/>
      <c r="O247" s="217"/>
      <c r="P247" s="217"/>
      <c r="Q247" s="217"/>
      <c r="R247" s="217">
        <v>78161</v>
      </c>
      <c r="S247" s="217">
        <v>757185</v>
      </c>
      <c r="T247" s="217">
        <v>44726</v>
      </c>
      <c r="U247" s="217">
        <v>64290</v>
      </c>
      <c r="V247" s="217">
        <v>1137682</v>
      </c>
      <c r="W247" s="217">
        <v>22482</v>
      </c>
      <c r="X247" s="217">
        <v>347349</v>
      </c>
      <c r="Y247" s="217">
        <v>2710866</v>
      </c>
      <c r="Z247" s="217">
        <v>244569</v>
      </c>
      <c r="AA247" s="217">
        <v>16433</v>
      </c>
      <c r="AB247" s="217">
        <v>152974</v>
      </c>
      <c r="AC247" s="217">
        <v>11683</v>
      </c>
      <c r="AD247" s="217">
        <v>24190</v>
      </c>
      <c r="AE247" s="217">
        <v>168092</v>
      </c>
      <c r="AF247" s="217">
        <v>16844</v>
      </c>
      <c r="AG247" s="217"/>
      <c r="AH247" s="217"/>
      <c r="AI247" s="217"/>
    </row>
    <row r="248" spans="1:36" x14ac:dyDescent="0.15">
      <c r="A248" s="124" t="str">
        <f t="shared" ref="A248:A258" si="216">A232</f>
        <v>2024-11</v>
      </c>
      <c r="B248" s="125">
        <f t="shared" ref="B248:E258" si="217">B195-B194</f>
        <v>258</v>
      </c>
      <c r="C248" s="125">
        <f t="shared" si="217"/>
        <v>3535</v>
      </c>
      <c r="D248" s="125">
        <f t="shared" si="217"/>
        <v>1366</v>
      </c>
      <c r="E248" s="125">
        <f t="shared" si="217"/>
        <v>0</v>
      </c>
      <c r="F248" s="125">
        <f t="shared" ref="F248:N248" si="218">F195-F194</f>
        <v>3404</v>
      </c>
      <c r="G248" s="125">
        <f t="shared" si="218"/>
        <v>34</v>
      </c>
      <c r="H248" s="125">
        <f t="shared" si="218"/>
        <v>367</v>
      </c>
      <c r="I248" s="125">
        <f t="shared" si="218"/>
        <v>2292</v>
      </c>
      <c r="J248" s="125">
        <f t="shared" si="218"/>
        <v>5162</v>
      </c>
      <c r="K248" s="125">
        <f t="shared" si="218"/>
        <v>-314</v>
      </c>
      <c r="L248" s="125">
        <f t="shared" si="218"/>
        <v>775</v>
      </c>
      <c r="M248" s="125">
        <f t="shared" si="218"/>
        <v>771</v>
      </c>
      <c r="N248" s="125">
        <f t="shared" si="218"/>
        <v>1314</v>
      </c>
      <c r="O248" s="217">
        <v>3563</v>
      </c>
      <c r="P248" s="217">
        <v>25293</v>
      </c>
      <c r="Q248" s="217">
        <v>2011</v>
      </c>
      <c r="R248" s="217">
        <v>53247</v>
      </c>
      <c r="S248" s="217">
        <v>377739</v>
      </c>
      <c r="T248" s="217">
        <v>34902</v>
      </c>
      <c r="U248" s="217">
        <v>74206</v>
      </c>
      <c r="V248" s="217">
        <v>1298537</v>
      </c>
      <c r="W248" s="217">
        <v>29103</v>
      </c>
      <c r="X248" s="217">
        <v>440891</v>
      </c>
      <c r="Y248" s="217">
        <v>3202873</v>
      </c>
      <c r="Z248" s="217">
        <v>289997</v>
      </c>
      <c r="AA248" s="217">
        <v>19070</v>
      </c>
      <c r="AB248" s="217">
        <v>161490</v>
      </c>
      <c r="AC248" s="217">
        <v>13974</v>
      </c>
      <c r="AD248" s="217">
        <v>19878</v>
      </c>
      <c r="AE248" s="217">
        <v>111178</v>
      </c>
      <c r="AF248" s="217">
        <v>14634</v>
      </c>
      <c r="AG248" s="217">
        <v>155635</v>
      </c>
      <c r="AH248" s="217">
        <v>921255</v>
      </c>
      <c r="AI248" s="217">
        <v>123204</v>
      </c>
    </row>
    <row r="249" spans="1:36" x14ac:dyDescent="0.15">
      <c r="A249" s="124" t="str">
        <f t="shared" si="216"/>
        <v>2024-12</v>
      </c>
      <c r="B249" s="125">
        <f t="shared" si="217"/>
        <v>-531</v>
      </c>
      <c r="C249" s="125">
        <f t="shared" si="217"/>
        <v>-10786</v>
      </c>
      <c r="D249" s="125">
        <f t="shared" si="217"/>
        <v>-317</v>
      </c>
      <c r="E249" s="125">
        <f t="shared" ref="E249" si="219">E196-E195</f>
        <v>0</v>
      </c>
      <c r="F249" s="125">
        <f t="shared" ref="F249:J258" si="220">F196-F195</f>
        <v>-5595</v>
      </c>
      <c r="G249" s="125">
        <f t="shared" si="220"/>
        <v>-397</v>
      </c>
      <c r="H249" s="125">
        <f t="shared" si="220"/>
        <v>-2313</v>
      </c>
      <c r="I249" s="125">
        <f t="shared" si="220"/>
        <v>-4493</v>
      </c>
      <c r="J249" s="125">
        <f t="shared" si="220"/>
        <v>-4250</v>
      </c>
      <c r="K249" s="125">
        <f t="shared" ref="K249:K258" si="221">K196-K195</f>
        <v>-2947</v>
      </c>
      <c r="L249" s="125">
        <f t="shared" ref="L249:N258" si="222">L196-L195</f>
        <v>-2076</v>
      </c>
      <c r="M249" s="125">
        <f t="shared" si="222"/>
        <v>-137</v>
      </c>
      <c r="N249" s="125">
        <f t="shared" si="222"/>
        <v>-2814</v>
      </c>
      <c r="O249" s="217">
        <v>5044</v>
      </c>
      <c r="P249" s="217">
        <v>37090</v>
      </c>
      <c r="Q249" s="217">
        <v>3477</v>
      </c>
      <c r="R249" s="217">
        <v>35281</v>
      </c>
      <c r="S249" s="217">
        <v>251786</v>
      </c>
      <c r="T249" s="217">
        <v>23036</v>
      </c>
      <c r="U249" s="217">
        <v>87176</v>
      </c>
      <c r="V249" s="217">
        <v>1513257</v>
      </c>
      <c r="W249" s="217">
        <v>37412</v>
      </c>
      <c r="X249" s="217">
        <v>435375</v>
      </c>
      <c r="Y249" s="217">
        <v>2700947</v>
      </c>
      <c r="Z249" s="217">
        <v>287305</v>
      </c>
      <c r="AA249" s="217">
        <v>18437</v>
      </c>
      <c r="AB249" s="217">
        <v>152661</v>
      </c>
      <c r="AC249" s="217">
        <v>13475</v>
      </c>
      <c r="AD249" s="217">
        <v>19897</v>
      </c>
      <c r="AE249" s="217">
        <v>103047</v>
      </c>
      <c r="AF249" s="217">
        <v>14808</v>
      </c>
      <c r="AG249" s="217">
        <v>142290</v>
      </c>
      <c r="AH249" s="217">
        <v>801448</v>
      </c>
      <c r="AI249" s="217">
        <v>117837</v>
      </c>
    </row>
    <row r="250" spans="1:36" x14ac:dyDescent="0.15">
      <c r="A250" s="124" t="str">
        <f t="shared" si="216"/>
        <v>2025-01</v>
      </c>
      <c r="B250" s="125">
        <f t="shared" si="217"/>
        <v>-193</v>
      </c>
      <c r="C250" s="125">
        <f t="shared" si="217"/>
        <v>-2789</v>
      </c>
      <c r="D250" s="125">
        <f t="shared" si="217"/>
        <v>-965</v>
      </c>
      <c r="E250" s="125">
        <f t="shared" ref="E250" si="223">E197-E196</f>
        <v>0</v>
      </c>
      <c r="F250" s="125">
        <f t="shared" si="220"/>
        <v>-462</v>
      </c>
      <c r="G250" s="125">
        <f t="shared" si="220"/>
        <v>446</v>
      </c>
      <c r="H250" s="125">
        <f t="shared" si="220"/>
        <v>771</v>
      </c>
      <c r="I250" s="125">
        <f t="shared" si="220"/>
        <v>-1593</v>
      </c>
      <c r="J250" s="125">
        <f t="shared" si="220"/>
        <v>1941</v>
      </c>
      <c r="K250" s="125">
        <f t="shared" si="221"/>
        <v>-641</v>
      </c>
      <c r="L250" s="125">
        <f t="shared" si="222"/>
        <v>893</v>
      </c>
      <c r="M250" s="125">
        <f t="shared" si="222"/>
        <v>-2344</v>
      </c>
      <c r="N250" s="125">
        <f t="shared" si="222"/>
        <v>634</v>
      </c>
      <c r="O250" s="217">
        <v>4566</v>
      </c>
      <c r="P250" s="217">
        <v>143683</v>
      </c>
      <c r="Q250" s="217">
        <v>3092</v>
      </c>
      <c r="R250" s="217">
        <v>94768</v>
      </c>
      <c r="S250" s="217">
        <v>915566</v>
      </c>
      <c r="T250" s="217">
        <v>64358</v>
      </c>
      <c r="U250" s="217">
        <v>230192</v>
      </c>
      <c r="V250" s="217">
        <v>3059401</v>
      </c>
      <c r="W250" s="217">
        <v>118902</v>
      </c>
      <c r="X250" s="217">
        <v>425601</v>
      </c>
      <c r="Y250" s="217">
        <v>3745528</v>
      </c>
      <c r="Z250" s="217">
        <v>287337</v>
      </c>
      <c r="AA250" s="217">
        <v>11300</v>
      </c>
      <c r="AB250" s="217">
        <v>165812</v>
      </c>
      <c r="AC250" s="217">
        <v>8349</v>
      </c>
      <c r="AD250" s="217">
        <v>25614</v>
      </c>
      <c r="AE250" s="217">
        <v>205349</v>
      </c>
      <c r="AF250" s="217">
        <v>17425</v>
      </c>
      <c r="AG250" s="217">
        <v>119831</v>
      </c>
      <c r="AH250" s="217">
        <v>714477</v>
      </c>
      <c r="AI250" s="217">
        <v>100968</v>
      </c>
    </row>
    <row r="251" spans="1:36" x14ac:dyDescent="0.15">
      <c r="A251" s="124" t="str">
        <f t="shared" si="216"/>
        <v>2025-02</v>
      </c>
      <c r="B251" s="125">
        <f t="shared" si="217"/>
        <v>1661</v>
      </c>
      <c r="C251" s="125">
        <f t="shared" si="217"/>
        <v>9097</v>
      </c>
      <c r="D251" s="125">
        <f t="shared" si="217"/>
        <v>699</v>
      </c>
      <c r="E251" s="125">
        <f t="shared" ref="E251" si="224">E198-E197</f>
        <v>0</v>
      </c>
      <c r="F251" s="125">
        <f t="shared" si="220"/>
        <v>3878</v>
      </c>
      <c r="G251" s="125">
        <f t="shared" si="220"/>
        <v>-132</v>
      </c>
      <c r="H251" s="125">
        <f t="shared" si="220"/>
        <v>2408</v>
      </c>
      <c r="I251" s="125">
        <f t="shared" si="220"/>
        <v>3406</v>
      </c>
      <c r="J251" s="125">
        <f t="shared" si="220"/>
        <v>240</v>
      </c>
      <c r="K251" s="125">
        <f t="shared" si="221"/>
        <v>1248</v>
      </c>
      <c r="L251" s="125">
        <f t="shared" si="222"/>
        <v>197</v>
      </c>
      <c r="M251" s="125">
        <f t="shared" si="222"/>
        <v>-1274</v>
      </c>
      <c r="N251" s="125">
        <f t="shared" si="222"/>
        <v>1617</v>
      </c>
      <c r="O251" s="217">
        <v>6236</v>
      </c>
      <c r="P251" s="217">
        <v>50572</v>
      </c>
      <c r="Q251" s="217">
        <v>4606</v>
      </c>
      <c r="R251" s="217">
        <v>205451</v>
      </c>
      <c r="S251" s="217">
        <v>1386094</v>
      </c>
      <c r="T251" s="217">
        <v>164546</v>
      </c>
      <c r="U251" s="217">
        <v>652612</v>
      </c>
      <c r="V251" s="217">
        <v>7811167</v>
      </c>
      <c r="W251" s="217">
        <v>343312</v>
      </c>
      <c r="X251" s="217">
        <v>536704</v>
      </c>
      <c r="Y251" s="217">
        <v>3727105</v>
      </c>
      <c r="Z251" s="217">
        <v>356268</v>
      </c>
      <c r="AA251" s="217">
        <v>18181</v>
      </c>
      <c r="AB251" s="217">
        <v>103414</v>
      </c>
      <c r="AC251" s="217">
        <v>14448</v>
      </c>
      <c r="AD251" s="217">
        <v>28056</v>
      </c>
      <c r="AE251" s="217">
        <v>221636</v>
      </c>
      <c r="AF251" s="217">
        <v>19278</v>
      </c>
      <c r="AG251" s="217">
        <v>127843</v>
      </c>
      <c r="AH251" s="217">
        <v>813099</v>
      </c>
      <c r="AI251" s="217">
        <v>107713</v>
      </c>
    </row>
    <row r="252" spans="1:36" x14ac:dyDescent="0.15">
      <c r="A252" s="124" t="str">
        <f t="shared" si="216"/>
        <v>2025-03</v>
      </c>
      <c r="B252" s="125">
        <f t="shared" si="217"/>
        <v>-668</v>
      </c>
      <c r="C252" s="125">
        <f t="shared" si="217"/>
        <v>10116</v>
      </c>
      <c r="D252" s="125">
        <f t="shared" si="217"/>
        <v>2635</v>
      </c>
      <c r="E252" s="125">
        <f t="shared" ref="E252" si="225">E199-E198</f>
        <v>0</v>
      </c>
      <c r="F252" s="125">
        <f t="shared" si="220"/>
        <v>6766</v>
      </c>
      <c r="G252" s="125">
        <f t="shared" si="220"/>
        <v>256</v>
      </c>
      <c r="H252" s="125">
        <f t="shared" si="220"/>
        <v>2142</v>
      </c>
      <c r="I252" s="125">
        <f t="shared" si="220"/>
        <v>4824</v>
      </c>
      <c r="J252" s="125">
        <f t="shared" si="220"/>
        <v>3689</v>
      </c>
      <c r="K252" s="125">
        <f t="shared" si="221"/>
        <v>2730</v>
      </c>
      <c r="L252" s="125">
        <f t="shared" si="222"/>
        <v>707</v>
      </c>
      <c r="M252" s="125">
        <f t="shared" si="222"/>
        <v>4145</v>
      </c>
      <c r="N252" s="125">
        <f t="shared" si="222"/>
        <v>1777</v>
      </c>
      <c r="O252" s="217">
        <v>7576</v>
      </c>
      <c r="P252" s="217">
        <v>62644</v>
      </c>
      <c r="Q252" s="217">
        <v>5560</v>
      </c>
      <c r="R252" s="217">
        <v>127574</v>
      </c>
      <c r="S252" s="217">
        <v>958322</v>
      </c>
      <c r="T252" s="217">
        <v>89098</v>
      </c>
      <c r="U252" s="217">
        <v>605342</v>
      </c>
      <c r="V252" s="217">
        <v>7137162</v>
      </c>
      <c r="W252" s="217">
        <v>310180</v>
      </c>
      <c r="X252" s="217">
        <v>629406</v>
      </c>
      <c r="Y252" s="217">
        <v>3935194</v>
      </c>
      <c r="Z252" s="217">
        <v>416514</v>
      </c>
      <c r="AA252" s="217">
        <v>17118</v>
      </c>
      <c r="AB252" s="217">
        <v>89676</v>
      </c>
      <c r="AC252" s="217">
        <v>13493</v>
      </c>
      <c r="AD252" s="217">
        <v>28531</v>
      </c>
      <c r="AE252" s="217">
        <v>206051</v>
      </c>
      <c r="AF252" s="217">
        <v>19950</v>
      </c>
      <c r="AG252" s="217">
        <v>106840</v>
      </c>
      <c r="AH252" s="217">
        <v>917822</v>
      </c>
      <c r="AI252" s="217">
        <v>87904</v>
      </c>
    </row>
    <row r="253" spans="1:36" x14ac:dyDescent="0.15">
      <c r="A253" s="124" t="str">
        <f t="shared" si="216"/>
        <v>2025-04</v>
      </c>
      <c r="B253" s="125">
        <f t="shared" si="217"/>
        <v>-349</v>
      </c>
      <c r="C253" s="125">
        <f t="shared" si="217"/>
        <v>-4614</v>
      </c>
      <c r="D253" s="125">
        <f t="shared" si="217"/>
        <v>-1235</v>
      </c>
      <c r="E253" s="125">
        <f t="shared" ref="E253" si="226">E200-E199</f>
        <v>0</v>
      </c>
      <c r="F253" s="125">
        <f t="shared" si="220"/>
        <v>-3130</v>
      </c>
      <c r="G253" s="125">
        <f t="shared" si="220"/>
        <v>-261</v>
      </c>
      <c r="H253" s="125">
        <f t="shared" si="220"/>
        <v>-1234</v>
      </c>
      <c r="I253" s="125">
        <f t="shared" si="220"/>
        <v>-948</v>
      </c>
      <c r="J253" s="125">
        <f t="shared" si="220"/>
        <v>-6478</v>
      </c>
      <c r="K253" s="125">
        <f t="shared" si="221"/>
        <v>-2257</v>
      </c>
      <c r="L253" s="125">
        <f t="shared" si="222"/>
        <v>-215</v>
      </c>
      <c r="M253" s="125">
        <f t="shared" si="222"/>
        <v>-210</v>
      </c>
      <c r="N253" s="125">
        <f t="shared" si="222"/>
        <v>-1001</v>
      </c>
      <c r="O253" s="217">
        <v>8071</v>
      </c>
      <c r="P253" s="217">
        <v>70567</v>
      </c>
      <c r="Q253" s="217">
        <v>5858</v>
      </c>
      <c r="R253" s="217">
        <v>119538</v>
      </c>
      <c r="S253" s="217">
        <v>744359</v>
      </c>
      <c r="T253" s="217">
        <v>86934</v>
      </c>
      <c r="U253" s="217">
        <v>466031</v>
      </c>
      <c r="V253" s="217">
        <v>5830786</v>
      </c>
      <c r="W253" s="217">
        <v>244340</v>
      </c>
      <c r="X253" s="217">
        <v>645434</v>
      </c>
      <c r="Y253" s="217">
        <v>3629180</v>
      </c>
      <c r="Z253" s="217">
        <v>446833</v>
      </c>
      <c r="AA253" s="217">
        <v>18982</v>
      </c>
      <c r="AB253" s="217">
        <v>113142</v>
      </c>
      <c r="AC253" s="217">
        <v>14175</v>
      </c>
      <c r="AD253" s="217">
        <v>29876</v>
      </c>
      <c r="AE253" s="217">
        <v>200215</v>
      </c>
      <c r="AF253" s="217">
        <v>21105</v>
      </c>
      <c r="AG253" s="217">
        <v>107864</v>
      </c>
      <c r="AH253" s="217">
        <v>895322</v>
      </c>
      <c r="AI253" s="217">
        <v>90311</v>
      </c>
    </row>
    <row r="254" spans="1:36" x14ac:dyDescent="0.15">
      <c r="A254" s="124" t="str">
        <f t="shared" si="216"/>
        <v>2025-05</v>
      </c>
      <c r="B254" s="125">
        <f t="shared" si="217"/>
        <v>28338</v>
      </c>
      <c r="C254" s="125">
        <f t="shared" si="217"/>
        <v>2217</v>
      </c>
      <c r="D254" s="125">
        <f t="shared" si="217"/>
        <v>1052</v>
      </c>
      <c r="E254" s="125">
        <f t="shared" ref="E254" si="227">E201-E200</f>
        <v>0</v>
      </c>
      <c r="F254" s="125">
        <f t="shared" si="220"/>
        <v>53</v>
      </c>
      <c r="G254" s="125">
        <f t="shared" si="220"/>
        <v>166</v>
      </c>
      <c r="H254" s="125">
        <f t="shared" si="220"/>
        <v>-967</v>
      </c>
      <c r="I254" s="125">
        <f t="shared" si="220"/>
        <v>-2425</v>
      </c>
      <c r="J254" s="125">
        <f t="shared" si="220"/>
        <v>72</v>
      </c>
      <c r="K254" s="125">
        <f t="shared" si="221"/>
        <v>-2790</v>
      </c>
      <c r="L254" s="125">
        <f t="shared" si="222"/>
        <v>-210</v>
      </c>
      <c r="M254" s="125">
        <f t="shared" si="222"/>
        <v>943</v>
      </c>
      <c r="N254" s="125">
        <f t="shared" si="222"/>
        <v>-784</v>
      </c>
      <c r="O254" s="217">
        <v>10494</v>
      </c>
      <c r="P254" s="217">
        <v>102909</v>
      </c>
      <c r="Q254" s="217">
        <v>7365</v>
      </c>
      <c r="R254" s="217">
        <v>140454</v>
      </c>
      <c r="S254" s="217">
        <v>865811</v>
      </c>
      <c r="T254" s="217">
        <v>103590</v>
      </c>
      <c r="U254" s="217">
        <v>443373</v>
      </c>
      <c r="V254" s="217">
        <v>5429821</v>
      </c>
      <c r="W254" s="217">
        <v>232392</v>
      </c>
      <c r="X254" s="217">
        <v>729565</v>
      </c>
      <c r="Y254" s="217">
        <v>4032173</v>
      </c>
      <c r="Z254" s="217">
        <v>505990</v>
      </c>
      <c r="AA254" s="217">
        <v>14071</v>
      </c>
      <c r="AB254" s="217">
        <v>97324</v>
      </c>
      <c r="AC254" s="217">
        <v>10766</v>
      </c>
      <c r="AD254" s="217">
        <v>37165</v>
      </c>
      <c r="AE254" s="217">
        <v>270832</v>
      </c>
      <c r="AF254" s="217">
        <v>23399</v>
      </c>
      <c r="AG254" s="217">
        <v>89576</v>
      </c>
      <c r="AH254" s="217">
        <v>938136</v>
      </c>
      <c r="AI254" s="217">
        <v>73954</v>
      </c>
    </row>
    <row r="255" spans="1:36" x14ac:dyDescent="0.15">
      <c r="A255" s="124" t="str">
        <f t="shared" si="216"/>
        <v>2025-06</v>
      </c>
      <c r="B255" s="125">
        <f t="shared" si="217"/>
        <v>-21999</v>
      </c>
      <c r="C255" s="125">
        <f t="shared" si="217"/>
        <v>-6859</v>
      </c>
      <c r="D255" s="125">
        <f t="shared" si="217"/>
        <v>-1718</v>
      </c>
      <c r="E255" s="125">
        <f t="shared" ref="E255" si="228">E202-E201</f>
        <v>0</v>
      </c>
      <c r="F255" s="125">
        <f t="shared" si="220"/>
        <v>-4065</v>
      </c>
      <c r="G255" s="125">
        <f t="shared" si="220"/>
        <v>16</v>
      </c>
      <c r="H255" s="125">
        <f t="shared" si="220"/>
        <v>-1905</v>
      </c>
      <c r="I255" s="125">
        <f t="shared" si="220"/>
        <v>-3709</v>
      </c>
      <c r="J255" s="125">
        <f t="shared" si="220"/>
        <v>1188</v>
      </c>
      <c r="K255" s="125">
        <f t="shared" si="221"/>
        <v>-1428</v>
      </c>
      <c r="L255" s="125">
        <f t="shared" si="222"/>
        <v>-431</v>
      </c>
      <c r="M255" s="125">
        <f t="shared" si="222"/>
        <v>-1014</v>
      </c>
      <c r="N255" s="125">
        <f t="shared" si="222"/>
        <v>-2381</v>
      </c>
      <c r="O255" s="217">
        <v>17347</v>
      </c>
      <c r="P255" s="217">
        <v>140576</v>
      </c>
      <c r="Q255" s="217">
        <v>12048</v>
      </c>
      <c r="R255" s="217">
        <v>189171</v>
      </c>
      <c r="S255" s="217">
        <v>1096949</v>
      </c>
      <c r="T255" s="217">
        <v>143345</v>
      </c>
      <c r="U255" s="217">
        <v>412847</v>
      </c>
      <c r="V255" s="217">
        <v>4971411</v>
      </c>
      <c r="W255" s="217">
        <v>220035</v>
      </c>
      <c r="X255" s="217">
        <v>766328</v>
      </c>
      <c r="Y255" s="217">
        <v>3772779</v>
      </c>
      <c r="Z255" s="217">
        <v>524620</v>
      </c>
      <c r="AA255" s="217">
        <v>31846</v>
      </c>
      <c r="AB255" s="217">
        <v>275875</v>
      </c>
      <c r="AC255" s="217">
        <v>23530</v>
      </c>
      <c r="AD255" s="217">
        <v>36216</v>
      </c>
      <c r="AE255" s="217">
        <v>303768</v>
      </c>
      <c r="AF255" s="217">
        <v>25158</v>
      </c>
      <c r="AG255" s="217">
        <v>88746</v>
      </c>
      <c r="AH255" s="217">
        <v>893022</v>
      </c>
      <c r="AI255" s="217">
        <v>72917</v>
      </c>
    </row>
    <row r="256" spans="1:36" x14ac:dyDescent="0.15">
      <c r="A256" s="124" t="str">
        <f t="shared" si="216"/>
        <v>2025-07</v>
      </c>
      <c r="B256" s="125">
        <f t="shared" si="217"/>
        <v>5805</v>
      </c>
      <c r="C256" s="125">
        <f t="shared" si="217"/>
        <v>-4394</v>
      </c>
      <c r="D256" s="125">
        <f t="shared" si="217"/>
        <v>-729</v>
      </c>
      <c r="E256" s="125">
        <f t="shared" ref="E256" si="229">E203-E202</f>
        <v>0</v>
      </c>
      <c r="F256" s="125">
        <f t="shared" si="220"/>
        <v>-1922</v>
      </c>
      <c r="G256" s="125">
        <f t="shared" si="220"/>
        <v>20</v>
      </c>
      <c r="H256" s="125">
        <f t="shared" si="220"/>
        <v>-25</v>
      </c>
      <c r="I256" s="125">
        <f t="shared" si="220"/>
        <v>1962</v>
      </c>
      <c r="J256" s="125">
        <f t="shared" si="220"/>
        <v>11893</v>
      </c>
      <c r="K256" s="125">
        <f t="shared" si="221"/>
        <v>-4273</v>
      </c>
      <c r="L256" s="125">
        <f t="shared" si="222"/>
        <v>-528</v>
      </c>
      <c r="M256" s="125">
        <f t="shared" si="222"/>
        <v>-404</v>
      </c>
      <c r="N256" s="125">
        <f t="shared" si="222"/>
        <v>-711</v>
      </c>
      <c r="O256" s="218">
        <v>23160</v>
      </c>
      <c r="P256" s="218">
        <v>392057</v>
      </c>
      <c r="Q256" s="218">
        <v>15823</v>
      </c>
      <c r="R256" s="218">
        <v>195153</v>
      </c>
      <c r="S256" s="218">
        <v>1059513</v>
      </c>
      <c r="T256" s="218">
        <v>141014</v>
      </c>
      <c r="U256" s="218">
        <v>301594</v>
      </c>
      <c r="V256" s="218">
        <v>3294341</v>
      </c>
      <c r="W256" s="218">
        <v>169008</v>
      </c>
      <c r="X256" s="218">
        <v>857579</v>
      </c>
      <c r="Y256" s="218">
        <v>4071275</v>
      </c>
      <c r="Z256" s="218">
        <v>572807</v>
      </c>
      <c r="AA256" s="218">
        <v>46518</v>
      </c>
      <c r="AB256" s="218">
        <v>454588</v>
      </c>
      <c r="AC256" s="218">
        <v>33545</v>
      </c>
      <c r="AD256" s="218">
        <v>39732</v>
      </c>
      <c r="AE256" s="218">
        <v>343100</v>
      </c>
      <c r="AF256" s="218">
        <v>27157</v>
      </c>
      <c r="AG256" s="218">
        <v>94980</v>
      </c>
      <c r="AH256" s="218">
        <v>923167</v>
      </c>
      <c r="AI256" s="218">
        <v>78103</v>
      </c>
    </row>
    <row r="257" spans="1:35" x14ac:dyDescent="0.15">
      <c r="A257" s="124" t="str">
        <f t="shared" si="216"/>
        <v>2025-08</v>
      </c>
      <c r="B257" s="125">
        <f t="shared" si="217"/>
        <v>4348</v>
      </c>
      <c r="C257" s="125">
        <f t="shared" si="217"/>
        <v>2030</v>
      </c>
      <c r="D257" s="125">
        <f t="shared" si="217"/>
        <v>105</v>
      </c>
      <c r="E257" s="125">
        <f t="shared" ref="E257" si="230">E204-E203</f>
        <v>0</v>
      </c>
      <c r="F257" s="125">
        <f t="shared" si="220"/>
        <v>86</v>
      </c>
      <c r="G257" s="125">
        <f t="shared" si="220"/>
        <v>-18</v>
      </c>
      <c r="H257" s="125">
        <f t="shared" si="220"/>
        <v>664</v>
      </c>
      <c r="I257" s="125">
        <f t="shared" si="220"/>
        <v>-1428</v>
      </c>
      <c r="J257" s="125">
        <f t="shared" si="220"/>
        <v>-192</v>
      </c>
      <c r="K257" s="125">
        <f t="shared" si="221"/>
        <v>-587</v>
      </c>
      <c r="L257" s="125">
        <f t="shared" si="222"/>
        <v>109</v>
      </c>
      <c r="M257" s="125">
        <f t="shared" si="222"/>
        <v>298</v>
      </c>
      <c r="N257" s="125">
        <f t="shared" si="222"/>
        <v>-934</v>
      </c>
      <c r="O257" s="217">
        <v>24485</v>
      </c>
      <c r="P257" s="217">
        <v>529075</v>
      </c>
      <c r="Q257" s="217">
        <v>16568</v>
      </c>
      <c r="R257" s="217">
        <v>209718</v>
      </c>
      <c r="S257" s="217">
        <v>1158426</v>
      </c>
      <c r="T257" s="217">
        <v>153371</v>
      </c>
      <c r="U257" s="217">
        <v>217721</v>
      </c>
      <c r="V257" s="217">
        <v>3095213</v>
      </c>
      <c r="W257" s="217">
        <v>136357</v>
      </c>
      <c r="X257" s="217">
        <v>798789</v>
      </c>
      <c r="Y257" s="217">
        <v>3813884</v>
      </c>
      <c r="Z257" s="217">
        <v>541879</v>
      </c>
      <c r="AA257" s="217">
        <v>46775</v>
      </c>
      <c r="AB257" s="217">
        <v>637712</v>
      </c>
      <c r="AC257" s="217">
        <v>34391</v>
      </c>
      <c r="AD257" s="217">
        <v>40086</v>
      </c>
      <c r="AE257" s="217">
        <v>1354393</v>
      </c>
      <c r="AF257" s="217">
        <v>27758</v>
      </c>
      <c r="AG257" s="217">
        <v>103800</v>
      </c>
      <c r="AH257" s="217">
        <v>1788088</v>
      </c>
      <c r="AI257" s="217">
        <v>83337</v>
      </c>
    </row>
    <row r="258" spans="1:35" x14ac:dyDescent="0.15">
      <c r="A258" s="124" t="str">
        <f t="shared" si="216"/>
        <v>2025-09</v>
      </c>
      <c r="B258" s="125">
        <f t="shared" si="217"/>
        <v>-6062</v>
      </c>
      <c r="C258" s="125">
        <f t="shared" si="217"/>
        <v>3117</v>
      </c>
      <c r="D258" s="125">
        <f t="shared" si="217"/>
        <v>-201</v>
      </c>
      <c r="E258" s="125">
        <f t="shared" ref="E258" si="231">E205-E204</f>
        <v>0</v>
      </c>
      <c r="F258" s="125">
        <f t="shared" si="220"/>
        <v>1596</v>
      </c>
      <c r="G258" s="125">
        <f t="shared" si="220"/>
        <v>-121</v>
      </c>
      <c r="H258" s="125">
        <f t="shared" si="220"/>
        <v>-1404</v>
      </c>
      <c r="I258" s="125">
        <f t="shared" si="220"/>
        <v>864</v>
      </c>
      <c r="J258" s="125">
        <f t="shared" si="220"/>
        <v>-582</v>
      </c>
      <c r="K258" s="125">
        <f t="shared" si="221"/>
        <v>6312</v>
      </c>
      <c r="L258" s="125">
        <f t="shared" si="222"/>
        <v>631</v>
      </c>
      <c r="M258" s="125">
        <f t="shared" si="222"/>
        <v>750</v>
      </c>
      <c r="N258" s="125">
        <f t="shared" si="222"/>
        <v>2854</v>
      </c>
      <c r="O258" s="218">
        <v>18921</v>
      </c>
      <c r="P258" s="218">
        <v>382124</v>
      </c>
      <c r="Q258" s="218">
        <v>13275</v>
      </c>
      <c r="R258" s="218">
        <v>213537</v>
      </c>
      <c r="S258" s="218">
        <v>2033553</v>
      </c>
      <c r="T258" s="218">
        <v>158733</v>
      </c>
      <c r="U258" s="218">
        <v>145511</v>
      </c>
      <c r="V258" s="218">
        <v>1377240</v>
      </c>
      <c r="W258" s="218">
        <v>107736</v>
      </c>
      <c r="X258" s="218">
        <v>986483</v>
      </c>
      <c r="Y258" s="218">
        <v>4642807</v>
      </c>
      <c r="Z258" s="218">
        <v>668488</v>
      </c>
      <c r="AA258" s="218">
        <v>50038</v>
      </c>
      <c r="AB258" s="218">
        <v>583216</v>
      </c>
      <c r="AC258" s="218">
        <v>37411</v>
      </c>
      <c r="AD258" s="218">
        <v>47740</v>
      </c>
      <c r="AE258" s="218">
        <v>1204490</v>
      </c>
      <c r="AF258" s="218">
        <v>32997</v>
      </c>
      <c r="AG258" s="218">
        <v>116957</v>
      </c>
      <c r="AH258" s="218">
        <v>1895297</v>
      </c>
      <c r="AI258" s="218">
        <v>89647</v>
      </c>
    </row>
    <row r="259" spans="1:35" x14ac:dyDescent="0.15">
      <c r="A259" s="32"/>
      <c r="B259" s="20"/>
      <c r="C259" s="20"/>
      <c r="D259" s="20"/>
      <c r="E259" s="20"/>
      <c r="F259" s="20"/>
      <c r="G259" s="20"/>
      <c r="H259" s="20"/>
      <c r="I259" s="20"/>
      <c r="J259" s="20"/>
      <c r="K259" s="20"/>
      <c r="L259" s="20"/>
      <c r="M259" s="20"/>
      <c r="N259" s="20"/>
      <c r="O259" s="219">
        <f t="shared" ref="O259:AI259" si="232">SUM(O246:O258)</f>
        <v>129463</v>
      </c>
      <c r="P259" s="219">
        <f t="shared" si="232"/>
        <v>1936590</v>
      </c>
      <c r="Q259" s="219">
        <f t="shared" si="232"/>
        <v>89683</v>
      </c>
      <c r="R259" s="219">
        <f t="shared" si="232"/>
        <v>1736246</v>
      </c>
      <c r="S259" s="219">
        <f t="shared" si="232"/>
        <v>12341240</v>
      </c>
      <c r="T259" s="219">
        <f t="shared" si="232"/>
        <v>1249644</v>
      </c>
      <c r="U259" s="219">
        <f t="shared" si="232"/>
        <v>3754469</v>
      </c>
      <c r="V259" s="219">
        <f t="shared" si="232"/>
        <v>46935956</v>
      </c>
      <c r="W259" s="219">
        <f t="shared" si="232"/>
        <v>1988999</v>
      </c>
      <c r="X259" s="219">
        <f t="shared" si="232"/>
        <v>7857150</v>
      </c>
      <c r="Y259" s="219">
        <f t="shared" si="232"/>
        <v>46270358</v>
      </c>
      <c r="Z259" s="219">
        <f t="shared" si="232"/>
        <v>5329932</v>
      </c>
      <c r="AA259" s="219">
        <f t="shared" si="232"/>
        <v>320011</v>
      </c>
      <c r="AB259" s="219">
        <f t="shared" si="232"/>
        <v>3105161</v>
      </c>
      <c r="AC259" s="219">
        <f t="shared" si="232"/>
        <v>237097</v>
      </c>
      <c r="AD259" s="219">
        <f t="shared" si="232"/>
        <v>420703</v>
      </c>
      <c r="AE259" s="219">
        <f t="shared" si="232"/>
        <v>5171905</v>
      </c>
      <c r="AF259" s="219">
        <f t="shared" si="232"/>
        <v>285261</v>
      </c>
      <c r="AG259" s="219">
        <f t="shared" si="232"/>
        <v>1254362</v>
      </c>
      <c r="AH259" s="219">
        <f t="shared" si="232"/>
        <v>11501133</v>
      </c>
      <c r="AI259" s="219">
        <f t="shared" si="232"/>
        <v>1025895</v>
      </c>
    </row>
    <row r="260" spans="1:35" x14ac:dyDescent="0.15">
      <c r="A260" s="32"/>
    </row>
    <row r="261" spans="1:35" x14ac:dyDescent="0.15">
      <c r="A261" s="31" t="s">
        <v>126</v>
      </c>
    </row>
    <row r="262" spans="1:35" x14ac:dyDescent="0.15">
      <c r="A262" s="26"/>
      <c r="B262" s="372" t="s">
        <v>3</v>
      </c>
      <c r="C262" s="373"/>
      <c r="D262" s="374"/>
      <c r="E262" s="372" t="s">
        <v>4</v>
      </c>
      <c r="F262" s="373"/>
      <c r="G262" s="374"/>
      <c r="H262" s="372" t="s">
        <v>5</v>
      </c>
      <c r="I262" s="373"/>
      <c r="J262" s="374"/>
      <c r="K262" s="372" t="s">
        <v>49</v>
      </c>
      <c r="L262" s="373"/>
      <c r="M262" s="374"/>
    </row>
    <row r="263" spans="1:35" x14ac:dyDescent="0.15">
      <c r="A263" s="98" t="s">
        <v>60</v>
      </c>
      <c r="B263" s="96" t="s">
        <v>52</v>
      </c>
      <c r="C263" s="96" t="s">
        <v>53</v>
      </c>
      <c r="D263" s="96" t="s">
        <v>51</v>
      </c>
      <c r="E263" s="96" t="s">
        <v>52</v>
      </c>
      <c r="F263" s="96" t="s">
        <v>53</v>
      </c>
      <c r="G263" s="96" t="s">
        <v>51</v>
      </c>
      <c r="H263" s="96" t="s">
        <v>52</v>
      </c>
      <c r="I263" s="96" t="s">
        <v>53</v>
      </c>
      <c r="J263" s="96" t="s">
        <v>51</v>
      </c>
      <c r="K263" s="96" t="s">
        <v>52</v>
      </c>
      <c r="L263" s="96" t="s">
        <v>53</v>
      </c>
      <c r="M263" s="96" t="s">
        <v>51</v>
      </c>
    </row>
    <row r="264" spans="1:35" x14ac:dyDescent="0.15">
      <c r="A264" s="177" t="s">
        <v>59</v>
      </c>
      <c r="B264" s="111">
        <v>125817</v>
      </c>
      <c r="C264" s="111">
        <v>1394032</v>
      </c>
      <c r="D264" s="111">
        <v>84470</v>
      </c>
      <c r="E264" s="111"/>
      <c r="F264" s="111"/>
      <c r="G264" s="111"/>
      <c r="H264" s="111"/>
      <c r="I264" s="111"/>
      <c r="J264" s="111"/>
      <c r="K264" s="111">
        <v>141171</v>
      </c>
      <c r="L264" s="111">
        <v>1607037</v>
      </c>
      <c r="M264" s="111">
        <v>78948</v>
      </c>
    </row>
    <row r="265" spans="1:35" x14ac:dyDescent="0.15">
      <c r="A265" s="177" t="s">
        <v>37</v>
      </c>
      <c r="B265" s="111">
        <v>145765</v>
      </c>
      <c r="C265" s="111">
        <v>1613397</v>
      </c>
      <c r="D265" s="111">
        <v>96327</v>
      </c>
      <c r="E265" s="111">
        <v>7745</v>
      </c>
      <c r="F265" s="111">
        <v>86406</v>
      </c>
      <c r="G265" s="111">
        <v>4014</v>
      </c>
      <c r="H265" s="111"/>
      <c r="I265" s="111"/>
      <c r="J265" s="111"/>
      <c r="K265" s="111">
        <v>143781</v>
      </c>
      <c r="L265" s="111">
        <v>1636681</v>
      </c>
      <c r="M265" s="111">
        <v>82771</v>
      </c>
    </row>
    <row r="266" spans="1:35" x14ac:dyDescent="0.15">
      <c r="A266" s="177" t="s">
        <v>38</v>
      </c>
      <c r="B266" s="111">
        <v>160681</v>
      </c>
      <c r="C266" s="111">
        <v>1799677</v>
      </c>
      <c r="D266" s="111">
        <v>109905</v>
      </c>
      <c r="E266" s="111">
        <v>6366</v>
      </c>
      <c r="F266" s="111">
        <v>86010</v>
      </c>
      <c r="G266" s="111">
        <v>2548</v>
      </c>
      <c r="H266" s="111">
        <v>1195</v>
      </c>
      <c r="I266" s="111">
        <v>7220</v>
      </c>
      <c r="J266" s="111">
        <v>979</v>
      </c>
      <c r="K266" s="111">
        <v>144585</v>
      </c>
      <c r="L266" s="111">
        <v>3472493</v>
      </c>
      <c r="M266" s="111">
        <v>80801</v>
      </c>
    </row>
    <row r="267" spans="1:35" x14ac:dyDescent="0.15">
      <c r="A267" s="177" t="s">
        <v>39</v>
      </c>
      <c r="B267" s="111">
        <v>191478</v>
      </c>
      <c r="C267" s="111">
        <v>2205316</v>
      </c>
      <c r="D267" s="111">
        <v>129351</v>
      </c>
      <c r="E267" s="111">
        <v>16270</v>
      </c>
      <c r="F267" s="111">
        <v>184821</v>
      </c>
      <c r="G267" s="111">
        <v>8779</v>
      </c>
      <c r="H267" s="111">
        <v>2241</v>
      </c>
      <c r="I267" s="111">
        <v>13695</v>
      </c>
      <c r="J267" s="111">
        <v>1935</v>
      </c>
      <c r="K267" s="111">
        <v>155369</v>
      </c>
      <c r="L267" s="111">
        <v>5690078</v>
      </c>
      <c r="M267" s="111">
        <v>81529</v>
      </c>
    </row>
    <row r="268" spans="1:35" x14ac:dyDescent="0.15">
      <c r="A268" s="177" t="s">
        <v>40</v>
      </c>
      <c r="B268" s="111">
        <v>199316</v>
      </c>
      <c r="C268" s="111">
        <v>2420483</v>
      </c>
      <c r="D268" s="111">
        <v>139685</v>
      </c>
      <c r="E268" s="111">
        <v>13772</v>
      </c>
      <c r="F268" s="111">
        <v>177994</v>
      </c>
      <c r="G268" s="111">
        <v>5236</v>
      </c>
      <c r="H268" s="111">
        <v>2504</v>
      </c>
      <c r="I268" s="111">
        <v>57720</v>
      </c>
      <c r="J268" s="111">
        <v>2093</v>
      </c>
      <c r="K268" s="111">
        <v>191134</v>
      </c>
      <c r="L268" s="111">
        <v>7011266</v>
      </c>
      <c r="M268" s="111">
        <v>108531</v>
      </c>
    </row>
    <row r="269" spans="1:35" x14ac:dyDescent="0.15">
      <c r="A269" s="177" t="s">
        <v>41</v>
      </c>
      <c r="B269" s="111">
        <v>165200</v>
      </c>
      <c r="C269" s="111">
        <v>1743569</v>
      </c>
      <c r="D269" s="111">
        <v>106536</v>
      </c>
      <c r="E269" s="111">
        <v>13439</v>
      </c>
      <c r="F269" s="111">
        <v>124754</v>
      </c>
      <c r="G269" s="111">
        <v>7258</v>
      </c>
      <c r="H269" s="111">
        <v>5628</v>
      </c>
      <c r="I269" s="111">
        <v>108135</v>
      </c>
      <c r="J269" s="111">
        <v>4486</v>
      </c>
      <c r="K269" s="111">
        <v>214570</v>
      </c>
      <c r="L269" s="111">
        <v>7631590</v>
      </c>
      <c r="M269" s="111">
        <v>120292</v>
      </c>
    </row>
    <row r="270" spans="1:35" x14ac:dyDescent="0.15">
      <c r="A270" s="177" t="s">
        <v>42</v>
      </c>
      <c r="B270" s="111">
        <v>159750</v>
      </c>
      <c r="C270" s="111">
        <v>1808786</v>
      </c>
      <c r="D270" s="111">
        <v>100981</v>
      </c>
      <c r="E270" s="111">
        <v>13782</v>
      </c>
      <c r="F270" s="111">
        <v>122536</v>
      </c>
      <c r="G270" s="111">
        <v>8039</v>
      </c>
      <c r="H270" s="111">
        <v>8326</v>
      </c>
      <c r="I270" s="111">
        <v>347006</v>
      </c>
      <c r="J270" s="111">
        <v>5414</v>
      </c>
      <c r="K270" s="111">
        <v>225553</v>
      </c>
      <c r="L270" s="111">
        <v>9735100</v>
      </c>
      <c r="M270" s="111">
        <v>125907</v>
      </c>
    </row>
    <row r="271" spans="1:35" x14ac:dyDescent="0.15">
      <c r="A271" s="177" t="s">
        <v>43</v>
      </c>
      <c r="B271" s="111">
        <v>47436</v>
      </c>
      <c r="C271" s="111">
        <v>483566</v>
      </c>
      <c r="D271" s="111">
        <v>31305</v>
      </c>
      <c r="E271" s="111">
        <v>20584</v>
      </c>
      <c r="F271" s="111">
        <v>142425</v>
      </c>
      <c r="G271" s="111">
        <v>13983</v>
      </c>
      <c r="H271" s="111">
        <v>6975</v>
      </c>
      <c r="I271" s="111">
        <v>122957</v>
      </c>
      <c r="J271" s="111">
        <v>4896</v>
      </c>
      <c r="K271" s="111">
        <v>217305</v>
      </c>
      <c r="L271" s="111">
        <v>10234228</v>
      </c>
      <c r="M271" s="111">
        <v>120646</v>
      </c>
    </row>
    <row r="272" spans="1:35" x14ac:dyDescent="0.15">
      <c r="A272" s="177" t="s">
        <v>45</v>
      </c>
      <c r="B272" s="111">
        <v>52864</v>
      </c>
      <c r="C272" s="111">
        <v>501339</v>
      </c>
      <c r="D272" s="111">
        <v>35782</v>
      </c>
      <c r="E272" s="111">
        <v>30739</v>
      </c>
      <c r="F272" s="111">
        <v>203901</v>
      </c>
      <c r="G272" s="111">
        <v>20779</v>
      </c>
      <c r="H272" s="111">
        <v>8284</v>
      </c>
      <c r="I272" s="111">
        <v>53139</v>
      </c>
      <c r="J272" s="111">
        <v>6574</v>
      </c>
      <c r="K272" s="111">
        <v>246689</v>
      </c>
      <c r="L272" s="111">
        <v>6004302</v>
      </c>
      <c r="M272" s="111">
        <v>141377</v>
      </c>
    </row>
    <row r="273" spans="1:40" x14ac:dyDescent="0.15">
      <c r="A273" s="177" t="s">
        <v>72</v>
      </c>
      <c r="B273" s="111">
        <v>55046</v>
      </c>
      <c r="C273" s="111">
        <v>542003</v>
      </c>
      <c r="D273" s="111">
        <v>38903</v>
      </c>
      <c r="E273" s="111">
        <v>65720</v>
      </c>
      <c r="F273" s="111">
        <v>295582</v>
      </c>
      <c r="G273" s="111">
        <v>41371</v>
      </c>
      <c r="H273" s="111">
        <v>10869</v>
      </c>
      <c r="I273" s="111">
        <v>64554</v>
      </c>
      <c r="J273" s="111">
        <v>8640</v>
      </c>
      <c r="K273" s="111">
        <v>206088</v>
      </c>
      <c r="L273" s="111">
        <v>2180301</v>
      </c>
      <c r="M273" s="111">
        <v>128457</v>
      </c>
    </row>
    <row r="274" spans="1:40" x14ac:dyDescent="0.15">
      <c r="A274" s="178" t="s">
        <v>84</v>
      </c>
      <c r="B274" s="134">
        <v>58238</v>
      </c>
      <c r="C274" s="134">
        <v>551711</v>
      </c>
      <c r="D274" s="134">
        <v>40974</v>
      </c>
      <c r="E274" s="134">
        <v>108364</v>
      </c>
      <c r="F274" s="134">
        <v>388556</v>
      </c>
      <c r="G274" s="134">
        <v>70696</v>
      </c>
      <c r="H274" s="134">
        <v>14866</v>
      </c>
      <c r="I274" s="134">
        <v>96028</v>
      </c>
      <c r="J274" s="134">
        <v>11549</v>
      </c>
      <c r="K274" s="134">
        <v>190206</v>
      </c>
      <c r="L274" s="134">
        <v>1902393</v>
      </c>
      <c r="M274" s="134">
        <v>118779</v>
      </c>
    </row>
    <row r="275" spans="1:40" x14ac:dyDescent="0.15">
      <c r="A275" s="177" t="s">
        <v>91</v>
      </c>
      <c r="B275" s="111">
        <v>67042</v>
      </c>
      <c r="C275" s="111">
        <v>818083</v>
      </c>
      <c r="D275" s="111">
        <v>49138</v>
      </c>
      <c r="E275" s="111">
        <v>161646</v>
      </c>
      <c r="F275" s="111">
        <v>551398</v>
      </c>
      <c r="G275" s="111">
        <v>106949</v>
      </c>
      <c r="H275" s="111">
        <v>25193</v>
      </c>
      <c r="I275" s="111">
        <v>276196</v>
      </c>
      <c r="J275" s="111">
        <v>19688</v>
      </c>
      <c r="K275" s="111">
        <v>150117</v>
      </c>
      <c r="L275" s="111">
        <v>2584212</v>
      </c>
      <c r="M275" s="111">
        <v>93299</v>
      </c>
    </row>
    <row r="276" spans="1:40" x14ac:dyDescent="0.15">
      <c r="A276" s="209" t="s">
        <v>115</v>
      </c>
      <c r="B276" s="210">
        <v>65954</v>
      </c>
      <c r="C276" s="210">
        <v>881990</v>
      </c>
      <c r="D276" s="210">
        <v>51239</v>
      </c>
      <c r="E276" s="210">
        <v>197225</v>
      </c>
      <c r="F276" s="210">
        <v>1074442</v>
      </c>
      <c r="G276" s="210">
        <v>130464</v>
      </c>
      <c r="H276" s="210">
        <v>26813</v>
      </c>
      <c r="I276" s="210">
        <v>288632</v>
      </c>
      <c r="J276" s="210">
        <v>21205</v>
      </c>
      <c r="K276" s="210">
        <v>160944</v>
      </c>
      <c r="L276" s="210">
        <v>2185900</v>
      </c>
      <c r="M276" s="210">
        <v>104518</v>
      </c>
    </row>
    <row r="277" spans="1:40" x14ac:dyDescent="0.15">
      <c r="A277" s="119" t="s">
        <v>54</v>
      </c>
      <c r="B277" s="115">
        <f t="shared" ref="B277:M277" si="233">SUM(B264:B276)</f>
        <v>1494587</v>
      </c>
      <c r="C277" s="115">
        <f t="shared" si="233"/>
        <v>16763952</v>
      </c>
      <c r="D277" s="115">
        <f t="shared" si="233"/>
        <v>1014596</v>
      </c>
      <c r="E277" s="115">
        <f t="shared" si="233"/>
        <v>655652</v>
      </c>
      <c r="F277" s="115">
        <f t="shared" si="233"/>
        <v>3438825</v>
      </c>
      <c r="G277" s="115">
        <f t="shared" si="233"/>
        <v>420116</v>
      </c>
      <c r="H277" s="115">
        <f t="shared" si="233"/>
        <v>112894</v>
      </c>
      <c r="I277" s="115">
        <f t="shared" si="233"/>
        <v>1435282</v>
      </c>
      <c r="J277" s="115">
        <f t="shared" si="233"/>
        <v>87459</v>
      </c>
      <c r="K277" s="115">
        <f t="shared" si="233"/>
        <v>2387512</v>
      </c>
      <c r="L277" s="115">
        <f t="shared" si="233"/>
        <v>61875581</v>
      </c>
      <c r="M277" s="115">
        <f t="shared" si="233"/>
        <v>1385855</v>
      </c>
    </row>
    <row r="278" spans="1:40" x14ac:dyDescent="0.15">
      <c r="B278" s="32" t="s">
        <v>101</v>
      </c>
    </row>
    <row r="281" spans="1:40" x14ac:dyDescent="0.15">
      <c r="A281" s="31" t="s">
        <v>127</v>
      </c>
    </row>
    <row r="282" spans="1:40" x14ac:dyDescent="0.15">
      <c r="A282" s="26"/>
      <c r="B282" s="372" t="s">
        <v>3</v>
      </c>
      <c r="C282" s="373"/>
      <c r="D282" s="374"/>
      <c r="E282" s="372" t="s">
        <v>4</v>
      </c>
      <c r="F282" s="373"/>
      <c r="G282" s="374"/>
      <c r="H282" s="372" t="s">
        <v>5</v>
      </c>
      <c r="I282" s="373"/>
      <c r="J282" s="374"/>
      <c r="K282" s="372" t="s">
        <v>222</v>
      </c>
      <c r="L282" s="373"/>
      <c r="M282" s="374"/>
      <c r="N282" s="372" t="s">
        <v>49</v>
      </c>
      <c r="O282" s="373"/>
      <c r="P282" s="374"/>
      <c r="Q282" s="372" t="s">
        <v>7</v>
      </c>
      <c r="R282" s="373"/>
      <c r="S282" s="374"/>
      <c r="T282" s="372" t="s">
        <v>50</v>
      </c>
      <c r="U282" s="373"/>
      <c r="V282" s="374"/>
      <c r="W282" s="372" t="s">
        <v>114</v>
      </c>
      <c r="X282" s="373"/>
      <c r="Y282" s="374"/>
      <c r="Z282" s="372" t="s">
        <v>8</v>
      </c>
      <c r="AA282" s="373"/>
      <c r="AB282" s="374"/>
      <c r="AC282" s="372" t="s">
        <v>17</v>
      </c>
      <c r="AD282" s="373"/>
      <c r="AE282" s="374"/>
      <c r="AF282" s="372" t="s">
        <v>9</v>
      </c>
      <c r="AG282" s="373"/>
      <c r="AH282" s="374"/>
      <c r="AI282" s="372" t="s">
        <v>12</v>
      </c>
      <c r="AJ282" s="373"/>
      <c r="AK282" s="374"/>
      <c r="AL282" s="372" t="s">
        <v>10</v>
      </c>
      <c r="AM282" s="373"/>
      <c r="AN282" s="374"/>
    </row>
    <row r="283" spans="1:40" x14ac:dyDescent="0.15">
      <c r="A283" s="98" t="s">
        <v>60</v>
      </c>
      <c r="B283" s="96" t="s">
        <v>52</v>
      </c>
      <c r="C283" s="96" t="s">
        <v>53</v>
      </c>
      <c r="D283" s="96" t="s">
        <v>51</v>
      </c>
      <c r="E283" s="96" t="s">
        <v>52</v>
      </c>
      <c r="F283" s="96" t="s">
        <v>53</v>
      </c>
      <c r="G283" s="96" t="s">
        <v>51</v>
      </c>
      <c r="H283" s="96" t="s">
        <v>52</v>
      </c>
      <c r="I283" s="96" t="s">
        <v>53</v>
      </c>
      <c r="J283" s="96" t="s">
        <v>51</v>
      </c>
      <c r="K283" s="96" t="s">
        <v>52</v>
      </c>
      <c r="L283" s="96" t="s">
        <v>53</v>
      </c>
      <c r="M283" s="96" t="s">
        <v>51</v>
      </c>
      <c r="N283" s="96" t="s">
        <v>52</v>
      </c>
      <c r="O283" s="96" t="s">
        <v>53</v>
      </c>
      <c r="P283" s="96" t="s">
        <v>51</v>
      </c>
      <c r="Q283" s="96" t="s">
        <v>52</v>
      </c>
      <c r="R283" s="96" t="s">
        <v>53</v>
      </c>
      <c r="S283" s="96" t="s">
        <v>51</v>
      </c>
      <c r="T283" s="96" t="s">
        <v>52</v>
      </c>
      <c r="U283" s="96" t="s">
        <v>53</v>
      </c>
      <c r="V283" s="96" t="s">
        <v>51</v>
      </c>
      <c r="W283" s="96" t="s">
        <v>52</v>
      </c>
      <c r="X283" s="96" t="s">
        <v>53</v>
      </c>
      <c r="Y283" s="96" t="s">
        <v>51</v>
      </c>
      <c r="Z283" s="96" t="s">
        <v>52</v>
      </c>
      <c r="AA283" s="96" t="s">
        <v>53</v>
      </c>
      <c r="AB283" s="96" t="s">
        <v>51</v>
      </c>
      <c r="AC283" s="96" t="s">
        <v>52</v>
      </c>
      <c r="AD283" s="96" t="s">
        <v>53</v>
      </c>
      <c r="AE283" s="96" t="s">
        <v>51</v>
      </c>
      <c r="AF283" s="96" t="s">
        <v>52</v>
      </c>
      <c r="AG283" s="96" t="s">
        <v>53</v>
      </c>
      <c r="AH283" s="96" t="s">
        <v>51</v>
      </c>
      <c r="AI283" s="96" t="s">
        <v>52</v>
      </c>
      <c r="AJ283" s="96" t="s">
        <v>53</v>
      </c>
      <c r="AK283" s="96" t="s">
        <v>51</v>
      </c>
      <c r="AL283" s="96" t="s">
        <v>52</v>
      </c>
      <c r="AM283" s="96" t="s">
        <v>53</v>
      </c>
      <c r="AN283" s="96" t="s">
        <v>51</v>
      </c>
    </row>
    <row r="284" spans="1:40" x14ac:dyDescent="0.15">
      <c r="A284" s="177" t="s">
        <v>59</v>
      </c>
      <c r="B284" s="111">
        <v>125817</v>
      </c>
      <c r="C284" s="111">
        <v>1394032</v>
      </c>
      <c r="D284" s="111">
        <v>84470</v>
      </c>
      <c r="E284" s="111"/>
      <c r="F284" s="111"/>
      <c r="G284" s="111"/>
      <c r="H284" s="111"/>
      <c r="I284" s="111"/>
      <c r="J284" s="111"/>
      <c r="K284" s="134"/>
      <c r="L284" s="134"/>
      <c r="M284" s="134"/>
      <c r="N284" s="111">
        <v>141171</v>
      </c>
      <c r="O284" s="111">
        <v>1607037</v>
      </c>
      <c r="P284" s="111">
        <v>78948</v>
      </c>
      <c r="Q284" s="111"/>
      <c r="R284" s="111"/>
      <c r="S284" s="111"/>
      <c r="T284" s="111">
        <v>74193</v>
      </c>
      <c r="U284" s="111">
        <v>735937</v>
      </c>
      <c r="V284" s="111">
        <v>41991</v>
      </c>
      <c r="W284" s="111">
        <v>53574</v>
      </c>
      <c r="X284" s="111">
        <v>979938</v>
      </c>
      <c r="Y284" s="111">
        <v>17740</v>
      </c>
      <c r="Z284" s="111">
        <v>257646</v>
      </c>
      <c r="AA284" s="111">
        <v>2285747</v>
      </c>
      <c r="AB284" s="111">
        <v>187325</v>
      </c>
      <c r="AC284" s="134"/>
      <c r="AD284" s="134"/>
      <c r="AE284" s="134"/>
      <c r="AF284" s="111">
        <v>11242</v>
      </c>
      <c r="AG284" s="111">
        <v>117277</v>
      </c>
      <c r="AH284" s="111">
        <v>7857</v>
      </c>
      <c r="AI284" s="111">
        <v>43722</v>
      </c>
      <c r="AJ284" s="111">
        <v>479754</v>
      </c>
      <c r="AK284" s="111">
        <v>24748</v>
      </c>
      <c r="AL284" s="111"/>
      <c r="AM284" s="111"/>
      <c r="AN284" s="111"/>
    </row>
    <row r="285" spans="1:40" x14ac:dyDescent="0.15">
      <c r="A285" s="177" t="s">
        <v>37</v>
      </c>
      <c r="B285" s="111">
        <v>145765</v>
      </c>
      <c r="C285" s="111">
        <v>1613397</v>
      </c>
      <c r="D285" s="111">
        <v>96327</v>
      </c>
      <c r="E285" s="111">
        <v>7745</v>
      </c>
      <c r="F285" s="111">
        <v>86406</v>
      </c>
      <c r="G285" s="111">
        <v>4014</v>
      </c>
      <c r="H285" s="111"/>
      <c r="I285" s="111"/>
      <c r="J285" s="111"/>
      <c r="K285" s="134"/>
      <c r="L285" s="134"/>
      <c r="M285" s="134"/>
      <c r="N285" s="111">
        <v>143781</v>
      </c>
      <c r="O285" s="111">
        <v>1636681</v>
      </c>
      <c r="P285" s="111">
        <v>82771</v>
      </c>
      <c r="Q285" s="111"/>
      <c r="R285" s="111"/>
      <c r="S285" s="111"/>
      <c r="T285" s="111">
        <v>78161</v>
      </c>
      <c r="U285" s="111">
        <v>757185</v>
      </c>
      <c r="V285" s="111">
        <v>44726</v>
      </c>
      <c r="W285" s="111">
        <v>64290</v>
      </c>
      <c r="X285" s="111">
        <v>1137682</v>
      </c>
      <c r="Y285" s="111">
        <v>22482</v>
      </c>
      <c r="Z285" s="111">
        <v>347349</v>
      </c>
      <c r="AA285" s="111">
        <v>2710866</v>
      </c>
      <c r="AB285" s="111">
        <v>244569</v>
      </c>
      <c r="AC285" s="134"/>
      <c r="AD285" s="134"/>
      <c r="AE285" s="134"/>
      <c r="AF285" s="111">
        <v>16433</v>
      </c>
      <c r="AG285" s="111">
        <v>152974</v>
      </c>
      <c r="AH285" s="111">
        <v>11683</v>
      </c>
      <c r="AI285" s="111">
        <v>24190</v>
      </c>
      <c r="AJ285" s="111">
        <v>168092</v>
      </c>
      <c r="AK285" s="111">
        <v>16844</v>
      </c>
      <c r="AL285" s="111"/>
      <c r="AM285" s="111"/>
      <c r="AN285" s="111"/>
    </row>
    <row r="286" spans="1:40" x14ac:dyDescent="0.15">
      <c r="A286" s="177" t="s">
        <v>38</v>
      </c>
      <c r="B286" s="111">
        <v>160681</v>
      </c>
      <c r="C286" s="111">
        <v>1799677</v>
      </c>
      <c r="D286" s="111">
        <v>109905</v>
      </c>
      <c r="E286" s="111">
        <v>6366</v>
      </c>
      <c r="F286" s="111">
        <v>86010</v>
      </c>
      <c r="G286" s="111">
        <v>2548</v>
      </c>
      <c r="H286" s="111">
        <v>1195</v>
      </c>
      <c r="I286" s="111">
        <v>7220</v>
      </c>
      <c r="J286" s="111">
        <v>979</v>
      </c>
      <c r="K286" s="134"/>
      <c r="L286" s="134"/>
      <c r="M286" s="134"/>
      <c r="N286" s="111">
        <v>144585</v>
      </c>
      <c r="O286" s="111">
        <v>3472493</v>
      </c>
      <c r="P286" s="111">
        <v>80801</v>
      </c>
      <c r="Q286" s="111">
        <v>3563</v>
      </c>
      <c r="R286" s="111">
        <v>25293</v>
      </c>
      <c r="S286" s="111">
        <v>2011</v>
      </c>
      <c r="T286" s="111">
        <v>53247</v>
      </c>
      <c r="U286" s="111">
        <v>377739</v>
      </c>
      <c r="V286" s="111">
        <v>34902</v>
      </c>
      <c r="W286" s="111">
        <v>74206</v>
      </c>
      <c r="X286" s="111">
        <v>1298537</v>
      </c>
      <c r="Y286" s="111">
        <v>29103</v>
      </c>
      <c r="Z286" s="111">
        <v>440891</v>
      </c>
      <c r="AA286" s="111">
        <v>3202873</v>
      </c>
      <c r="AB286" s="111">
        <v>289997</v>
      </c>
      <c r="AC286" s="134"/>
      <c r="AD286" s="134"/>
      <c r="AE286" s="134"/>
      <c r="AF286" s="111">
        <v>19070</v>
      </c>
      <c r="AG286" s="111">
        <v>161490</v>
      </c>
      <c r="AH286" s="111">
        <v>13974</v>
      </c>
      <c r="AI286" s="111">
        <v>19878</v>
      </c>
      <c r="AJ286" s="111">
        <v>111178</v>
      </c>
      <c r="AK286" s="111">
        <v>14634</v>
      </c>
      <c r="AL286" s="111">
        <v>155635</v>
      </c>
      <c r="AM286" s="111">
        <v>921255</v>
      </c>
      <c r="AN286" s="111">
        <v>123204</v>
      </c>
    </row>
    <row r="287" spans="1:40" x14ac:dyDescent="0.15">
      <c r="A287" s="177" t="s">
        <v>39</v>
      </c>
      <c r="B287" s="111">
        <v>191478</v>
      </c>
      <c r="C287" s="111">
        <v>2205316</v>
      </c>
      <c r="D287" s="111">
        <v>129351</v>
      </c>
      <c r="E287" s="111">
        <v>16270</v>
      </c>
      <c r="F287" s="111">
        <v>184821</v>
      </c>
      <c r="G287" s="111">
        <v>8779</v>
      </c>
      <c r="H287" s="111">
        <v>2241</v>
      </c>
      <c r="I287" s="111">
        <v>13695</v>
      </c>
      <c r="J287" s="111">
        <v>1935</v>
      </c>
      <c r="K287" s="134"/>
      <c r="L287" s="134"/>
      <c r="M287" s="134"/>
      <c r="N287" s="111">
        <v>155369</v>
      </c>
      <c r="O287" s="111">
        <v>5690078</v>
      </c>
      <c r="P287" s="111">
        <v>81529</v>
      </c>
      <c r="Q287" s="111">
        <v>5044</v>
      </c>
      <c r="R287" s="111">
        <v>37090</v>
      </c>
      <c r="S287" s="111">
        <v>3477</v>
      </c>
      <c r="T287" s="111">
        <v>35281</v>
      </c>
      <c r="U287" s="111">
        <v>251786</v>
      </c>
      <c r="V287" s="111">
        <v>23036</v>
      </c>
      <c r="W287" s="111">
        <v>87176</v>
      </c>
      <c r="X287" s="111">
        <v>1513257</v>
      </c>
      <c r="Y287" s="111">
        <v>37412</v>
      </c>
      <c r="Z287" s="111">
        <v>435375</v>
      </c>
      <c r="AA287" s="111">
        <v>2700947</v>
      </c>
      <c r="AB287" s="111">
        <v>287305</v>
      </c>
      <c r="AC287" s="134"/>
      <c r="AD287" s="134"/>
      <c r="AE287" s="134"/>
      <c r="AF287" s="111">
        <v>18437</v>
      </c>
      <c r="AG287" s="111">
        <v>152661</v>
      </c>
      <c r="AH287" s="111">
        <v>13475</v>
      </c>
      <c r="AI287" s="111">
        <v>19897</v>
      </c>
      <c r="AJ287" s="111">
        <v>103047</v>
      </c>
      <c r="AK287" s="111">
        <v>14808</v>
      </c>
      <c r="AL287" s="111">
        <v>142290</v>
      </c>
      <c r="AM287" s="111">
        <v>801448</v>
      </c>
      <c r="AN287" s="111">
        <v>117837</v>
      </c>
    </row>
    <row r="288" spans="1:40" x14ac:dyDescent="0.15">
      <c r="A288" s="177" t="s">
        <v>40</v>
      </c>
      <c r="B288" s="111">
        <v>199316</v>
      </c>
      <c r="C288" s="111">
        <v>2420483</v>
      </c>
      <c r="D288" s="111">
        <v>139685</v>
      </c>
      <c r="E288" s="111">
        <v>13772</v>
      </c>
      <c r="F288" s="111">
        <v>177994</v>
      </c>
      <c r="G288" s="111">
        <v>5236</v>
      </c>
      <c r="H288" s="111">
        <v>2504</v>
      </c>
      <c r="I288" s="111">
        <v>57720</v>
      </c>
      <c r="J288" s="111">
        <v>2093</v>
      </c>
      <c r="K288" s="134"/>
      <c r="L288" s="134"/>
      <c r="M288" s="134"/>
      <c r="N288" s="111">
        <v>191134</v>
      </c>
      <c r="O288" s="111">
        <v>7011266</v>
      </c>
      <c r="P288" s="111">
        <v>108531</v>
      </c>
      <c r="Q288" s="111">
        <v>4566</v>
      </c>
      <c r="R288" s="111">
        <v>143683</v>
      </c>
      <c r="S288" s="111">
        <v>3092</v>
      </c>
      <c r="T288" s="111">
        <v>94768</v>
      </c>
      <c r="U288" s="111">
        <v>915566</v>
      </c>
      <c r="V288" s="111">
        <v>64358</v>
      </c>
      <c r="W288" s="111">
        <v>230192</v>
      </c>
      <c r="X288" s="111">
        <v>3059401</v>
      </c>
      <c r="Y288" s="111">
        <v>118902</v>
      </c>
      <c r="Z288" s="111">
        <v>425601</v>
      </c>
      <c r="AA288" s="111">
        <v>3745528</v>
      </c>
      <c r="AB288" s="111">
        <v>287337</v>
      </c>
      <c r="AC288" s="134"/>
      <c r="AD288" s="134"/>
      <c r="AE288" s="134"/>
      <c r="AF288" s="111">
        <v>11300</v>
      </c>
      <c r="AG288" s="111">
        <v>165812</v>
      </c>
      <c r="AH288" s="111">
        <v>8349</v>
      </c>
      <c r="AI288" s="111">
        <v>25614</v>
      </c>
      <c r="AJ288" s="111">
        <v>205349</v>
      </c>
      <c r="AK288" s="111">
        <v>17425</v>
      </c>
      <c r="AL288" s="111">
        <v>119831</v>
      </c>
      <c r="AM288" s="111">
        <v>714477</v>
      </c>
      <c r="AN288" s="111">
        <v>100968</v>
      </c>
    </row>
    <row r="289" spans="1:40" x14ac:dyDescent="0.15">
      <c r="A289" s="178" t="s">
        <v>41</v>
      </c>
      <c r="B289" s="134">
        <v>165200</v>
      </c>
      <c r="C289" s="134">
        <v>1743569</v>
      </c>
      <c r="D289" s="134">
        <v>106536</v>
      </c>
      <c r="E289" s="134">
        <v>13439</v>
      </c>
      <c r="F289" s="134">
        <v>124754</v>
      </c>
      <c r="G289" s="134">
        <v>7258</v>
      </c>
      <c r="H289" s="134">
        <v>5628</v>
      </c>
      <c r="I289" s="134">
        <v>108135</v>
      </c>
      <c r="J289" s="134">
        <v>4486</v>
      </c>
      <c r="K289" s="134"/>
      <c r="L289" s="134"/>
      <c r="M289" s="134"/>
      <c r="N289" s="134">
        <v>214570</v>
      </c>
      <c r="O289" s="134">
        <v>7631590</v>
      </c>
      <c r="P289" s="134">
        <v>120292</v>
      </c>
      <c r="Q289" s="134">
        <v>6236</v>
      </c>
      <c r="R289" s="134">
        <v>50572</v>
      </c>
      <c r="S289" s="134">
        <v>4606</v>
      </c>
      <c r="T289" s="134">
        <v>205451</v>
      </c>
      <c r="U289" s="134">
        <v>1386094</v>
      </c>
      <c r="V289" s="134">
        <v>164546</v>
      </c>
      <c r="W289" s="134">
        <v>652612</v>
      </c>
      <c r="X289" s="134">
        <v>7811167</v>
      </c>
      <c r="Y289" s="134">
        <v>343312</v>
      </c>
      <c r="Z289" s="134">
        <v>536704</v>
      </c>
      <c r="AA289" s="134">
        <v>3727105</v>
      </c>
      <c r="AB289" s="134">
        <v>356268</v>
      </c>
      <c r="AC289" s="134"/>
      <c r="AD289" s="134"/>
      <c r="AE289" s="134"/>
      <c r="AF289" s="134">
        <v>18181</v>
      </c>
      <c r="AG289" s="134">
        <v>103414</v>
      </c>
      <c r="AH289" s="134">
        <v>14448</v>
      </c>
      <c r="AI289" s="134">
        <v>28056</v>
      </c>
      <c r="AJ289" s="134">
        <v>221636</v>
      </c>
      <c r="AK289" s="134">
        <v>19278</v>
      </c>
      <c r="AL289" s="134">
        <v>127843</v>
      </c>
      <c r="AM289" s="134">
        <v>813099</v>
      </c>
      <c r="AN289" s="134">
        <v>107713</v>
      </c>
    </row>
    <row r="290" spans="1:40" x14ac:dyDescent="0.15">
      <c r="A290" s="178" t="s">
        <v>42</v>
      </c>
      <c r="B290" s="134">
        <v>159750</v>
      </c>
      <c r="C290" s="134">
        <v>1808786</v>
      </c>
      <c r="D290" s="134">
        <v>100981</v>
      </c>
      <c r="E290" s="134">
        <v>13782</v>
      </c>
      <c r="F290" s="134">
        <v>122536</v>
      </c>
      <c r="G290" s="134">
        <v>8039</v>
      </c>
      <c r="H290" s="134">
        <v>8326</v>
      </c>
      <c r="I290" s="134">
        <v>347006</v>
      </c>
      <c r="J290" s="134">
        <v>5414</v>
      </c>
      <c r="K290" s="134"/>
      <c r="L290" s="134"/>
      <c r="M290" s="134"/>
      <c r="N290" s="134">
        <v>225553</v>
      </c>
      <c r="O290" s="134">
        <v>9735100</v>
      </c>
      <c r="P290" s="134">
        <v>125907</v>
      </c>
      <c r="Q290" s="134">
        <v>7576</v>
      </c>
      <c r="R290" s="134">
        <v>62644</v>
      </c>
      <c r="S290" s="134">
        <v>5560</v>
      </c>
      <c r="T290" s="134">
        <v>127574</v>
      </c>
      <c r="U290" s="134">
        <v>958322</v>
      </c>
      <c r="V290" s="134">
        <v>89098</v>
      </c>
      <c r="W290" s="134">
        <v>605342</v>
      </c>
      <c r="X290" s="134">
        <v>7137162</v>
      </c>
      <c r="Y290" s="134">
        <v>310180</v>
      </c>
      <c r="Z290" s="134">
        <v>629406</v>
      </c>
      <c r="AA290" s="134">
        <v>3935194</v>
      </c>
      <c r="AB290" s="134">
        <v>416514</v>
      </c>
      <c r="AC290" s="134"/>
      <c r="AD290" s="134"/>
      <c r="AE290" s="134"/>
      <c r="AF290" s="134">
        <v>17118</v>
      </c>
      <c r="AG290" s="134">
        <v>89676</v>
      </c>
      <c r="AH290" s="134">
        <v>13493</v>
      </c>
      <c r="AI290" s="134">
        <v>28531</v>
      </c>
      <c r="AJ290" s="134">
        <v>206051</v>
      </c>
      <c r="AK290" s="134">
        <v>19950</v>
      </c>
      <c r="AL290" s="134">
        <v>106840</v>
      </c>
      <c r="AM290" s="134">
        <v>917822</v>
      </c>
      <c r="AN290" s="134">
        <v>87904</v>
      </c>
    </row>
    <row r="291" spans="1:40" x14ac:dyDescent="0.15">
      <c r="A291" s="178" t="s">
        <v>43</v>
      </c>
      <c r="B291" s="134">
        <v>47436</v>
      </c>
      <c r="C291" s="134">
        <v>483566</v>
      </c>
      <c r="D291" s="134">
        <v>31305</v>
      </c>
      <c r="E291" s="134">
        <v>20584</v>
      </c>
      <c r="F291" s="134">
        <v>142425</v>
      </c>
      <c r="G291" s="134">
        <v>13983</v>
      </c>
      <c r="H291" s="134">
        <v>6975</v>
      </c>
      <c r="I291" s="134">
        <v>122957</v>
      </c>
      <c r="J291" s="134">
        <v>4896</v>
      </c>
      <c r="K291" s="134"/>
      <c r="L291" s="134"/>
      <c r="M291" s="134"/>
      <c r="N291" s="134">
        <v>217305</v>
      </c>
      <c r="O291" s="134">
        <v>10234228</v>
      </c>
      <c r="P291" s="134">
        <v>120646</v>
      </c>
      <c r="Q291" s="134">
        <v>8071</v>
      </c>
      <c r="R291" s="134">
        <v>70567</v>
      </c>
      <c r="S291" s="134">
        <v>5858</v>
      </c>
      <c r="T291" s="134">
        <v>119538</v>
      </c>
      <c r="U291" s="134">
        <v>744359</v>
      </c>
      <c r="V291" s="134">
        <v>86934</v>
      </c>
      <c r="W291" s="134">
        <v>466031</v>
      </c>
      <c r="X291" s="134">
        <v>5830786</v>
      </c>
      <c r="Y291" s="134">
        <v>244340</v>
      </c>
      <c r="Z291" s="134">
        <v>645434</v>
      </c>
      <c r="AA291" s="134">
        <v>3629180</v>
      </c>
      <c r="AB291" s="134">
        <v>446833</v>
      </c>
      <c r="AC291" s="134"/>
      <c r="AD291" s="134"/>
      <c r="AE291" s="134"/>
      <c r="AF291" s="134">
        <v>18982</v>
      </c>
      <c r="AG291" s="134">
        <v>113142</v>
      </c>
      <c r="AH291" s="134">
        <v>14175</v>
      </c>
      <c r="AI291" s="134">
        <v>29876</v>
      </c>
      <c r="AJ291" s="134">
        <v>200215</v>
      </c>
      <c r="AK291" s="134">
        <v>21105</v>
      </c>
      <c r="AL291" s="134">
        <v>107864</v>
      </c>
      <c r="AM291" s="134">
        <v>895322</v>
      </c>
      <c r="AN291" s="134">
        <v>90311</v>
      </c>
    </row>
    <row r="292" spans="1:40" x14ac:dyDescent="0.15">
      <c r="A292" s="178" t="s">
        <v>45</v>
      </c>
      <c r="B292" s="134">
        <v>52864</v>
      </c>
      <c r="C292" s="134">
        <v>501339</v>
      </c>
      <c r="D292" s="134">
        <v>35782</v>
      </c>
      <c r="E292" s="134">
        <v>30739</v>
      </c>
      <c r="F292" s="134">
        <v>203901</v>
      </c>
      <c r="G292" s="134">
        <v>20779</v>
      </c>
      <c r="H292" s="134">
        <v>8284</v>
      </c>
      <c r="I292" s="134">
        <v>53139</v>
      </c>
      <c r="J292" s="134">
        <v>6574</v>
      </c>
      <c r="K292" s="134"/>
      <c r="L292" s="134"/>
      <c r="M292" s="134"/>
      <c r="N292" s="134">
        <v>246689</v>
      </c>
      <c r="O292" s="134">
        <v>6004302</v>
      </c>
      <c r="P292" s="134">
        <v>141377</v>
      </c>
      <c r="Q292" s="134">
        <v>10494</v>
      </c>
      <c r="R292" s="134">
        <v>102909</v>
      </c>
      <c r="S292" s="134">
        <v>7365</v>
      </c>
      <c r="T292" s="134">
        <v>140454</v>
      </c>
      <c r="U292" s="134">
        <v>865811</v>
      </c>
      <c r="V292" s="134">
        <v>103590</v>
      </c>
      <c r="W292" s="134">
        <v>443373</v>
      </c>
      <c r="X292" s="134">
        <v>5429821</v>
      </c>
      <c r="Y292" s="134">
        <v>232392</v>
      </c>
      <c r="Z292" s="134">
        <v>729565</v>
      </c>
      <c r="AA292" s="134">
        <v>4032173</v>
      </c>
      <c r="AB292" s="134">
        <v>505990</v>
      </c>
      <c r="AC292" s="134"/>
      <c r="AD292" s="134"/>
      <c r="AE292" s="134"/>
      <c r="AF292" s="134">
        <v>14071</v>
      </c>
      <c r="AG292" s="134">
        <v>97324</v>
      </c>
      <c r="AH292" s="134">
        <v>10766</v>
      </c>
      <c r="AI292" s="134">
        <v>37165</v>
      </c>
      <c r="AJ292" s="134">
        <v>270832</v>
      </c>
      <c r="AK292" s="134">
        <v>23399</v>
      </c>
      <c r="AL292" s="134">
        <v>89576</v>
      </c>
      <c r="AM292" s="134">
        <v>938136</v>
      </c>
      <c r="AN292" s="134">
        <v>73954</v>
      </c>
    </row>
    <row r="293" spans="1:40" x14ac:dyDescent="0.15">
      <c r="A293" s="178" t="s">
        <v>72</v>
      </c>
      <c r="B293" s="134">
        <v>55046</v>
      </c>
      <c r="C293" s="134">
        <v>542003</v>
      </c>
      <c r="D293" s="134">
        <v>38903</v>
      </c>
      <c r="E293" s="134">
        <v>65720</v>
      </c>
      <c r="F293" s="134">
        <v>295582</v>
      </c>
      <c r="G293" s="134">
        <v>41371</v>
      </c>
      <c r="H293" s="134">
        <v>10869</v>
      </c>
      <c r="I293" s="134">
        <v>64554</v>
      </c>
      <c r="J293" s="134">
        <v>8640</v>
      </c>
      <c r="K293" s="134"/>
      <c r="L293" s="134"/>
      <c r="M293" s="134"/>
      <c r="N293" s="134">
        <v>206088</v>
      </c>
      <c r="O293" s="134">
        <v>2180301</v>
      </c>
      <c r="P293" s="134">
        <v>128457</v>
      </c>
      <c r="Q293" s="134">
        <v>17347</v>
      </c>
      <c r="R293" s="134">
        <v>140576</v>
      </c>
      <c r="S293" s="134">
        <v>12048</v>
      </c>
      <c r="T293" s="134">
        <v>189171</v>
      </c>
      <c r="U293" s="134">
        <v>1096949</v>
      </c>
      <c r="V293" s="134">
        <v>143345</v>
      </c>
      <c r="W293" s="134">
        <v>412847</v>
      </c>
      <c r="X293" s="134">
        <v>4971411</v>
      </c>
      <c r="Y293" s="134">
        <v>220035</v>
      </c>
      <c r="Z293" s="134">
        <v>766328</v>
      </c>
      <c r="AA293" s="134">
        <v>3772779</v>
      </c>
      <c r="AB293" s="134">
        <v>524620</v>
      </c>
      <c r="AC293" s="134"/>
      <c r="AD293" s="134"/>
      <c r="AE293" s="134"/>
      <c r="AF293" s="134">
        <v>31846</v>
      </c>
      <c r="AG293" s="134">
        <v>275875</v>
      </c>
      <c r="AH293" s="134">
        <v>23530</v>
      </c>
      <c r="AI293" s="134">
        <v>36216</v>
      </c>
      <c r="AJ293" s="134">
        <v>303768</v>
      </c>
      <c r="AK293" s="134">
        <v>25158</v>
      </c>
      <c r="AL293" s="134">
        <v>88746</v>
      </c>
      <c r="AM293" s="134">
        <v>893022</v>
      </c>
      <c r="AN293" s="134">
        <v>72917</v>
      </c>
    </row>
    <row r="294" spans="1:40" x14ac:dyDescent="0.15">
      <c r="A294" s="178" t="s">
        <v>84</v>
      </c>
      <c r="B294" s="134">
        <v>58238</v>
      </c>
      <c r="C294" s="134">
        <v>551711</v>
      </c>
      <c r="D294" s="134">
        <v>40974</v>
      </c>
      <c r="E294" s="134">
        <v>108364</v>
      </c>
      <c r="F294" s="134">
        <v>388556</v>
      </c>
      <c r="G294" s="134">
        <v>70696</v>
      </c>
      <c r="H294" s="134">
        <v>14866</v>
      </c>
      <c r="I294" s="134">
        <v>96028</v>
      </c>
      <c r="J294" s="134">
        <v>11549</v>
      </c>
      <c r="K294" s="134"/>
      <c r="L294" s="134"/>
      <c r="M294" s="134"/>
      <c r="N294" s="134">
        <v>190206</v>
      </c>
      <c r="O294" s="134">
        <v>1902393</v>
      </c>
      <c r="P294" s="134">
        <v>118779</v>
      </c>
      <c r="Q294" s="134">
        <v>23160</v>
      </c>
      <c r="R294" s="134">
        <v>392057</v>
      </c>
      <c r="S294" s="134">
        <v>15823</v>
      </c>
      <c r="T294" s="134">
        <v>195153</v>
      </c>
      <c r="U294" s="134">
        <v>1059513</v>
      </c>
      <c r="V294" s="134">
        <v>141014</v>
      </c>
      <c r="W294" s="134">
        <v>301594</v>
      </c>
      <c r="X294" s="134">
        <v>3294341</v>
      </c>
      <c r="Y294" s="134">
        <v>169008</v>
      </c>
      <c r="Z294" s="134">
        <v>857579</v>
      </c>
      <c r="AA294" s="134">
        <v>4071275</v>
      </c>
      <c r="AB294" s="134">
        <v>572807</v>
      </c>
      <c r="AC294" s="134"/>
      <c r="AD294" s="134"/>
      <c r="AE294" s="134"/>
      <c r="AF294" s="134">
        <v>46518</v>
      </c>
      <c r="AG294" s="134">
        <v>454588</v>
      </c>
      <c r="AH294" s="134">
        <v>33545</v>
      </c>
      <c r="AI294" s="134">
        <v>39732</v>
      </c>
      <c r="AJ294" s="134">
        <v>343100</v>
      </c>
      <c r="AK294" s="134">
        <v>27157</v>
      </c>
      <c r="AL294" s="134">
        <v>94980</v>
      </c>
      <c r="AM294" s="134">
        <v>923167</v>
      </c>
      <c r="AN294" s="134">
        <v>78103</v>
      </c>
    </row>
    <row r="295" spans="1:40" x14ac:dyDescent="0.15">
      <c r="A295" s="178" t="s">
        <v>91</v>
      </c>
      <c r="B295" s="134">
        <v>67042</v>
      </c>
      <c r="C295" s="134">
        <v>818083</v>
      </c>
      <c r="D295" s="134">
        <v>49138</v>
      </c>
      <c r="E295" s="134">
        <v>161646</v>
      </c>
      <c r="F295" s="134">
        <v>551398</v>
      </c>
      <c r="G295" s="134">
        <v>106949</v>
      </c>
      <c r="H295" s="134">
        <v>25193</v>
      </c>
      <c r="I295" s="134">
        <v>276196</v>
      </c>
      <c r="J295" s="134">
        <v>19688</v>
      </c>
      <c r="K295" s="134"/>
      <c r="L295" s="134"/>
      <c r="M295" s="134"/>
      <c r="N295" s="134">
        <v>150117</v>
      </c>
      <c r="O295" s="134">
        <v>2584212</v>
      </c>
      <c r="P295" s="134">
        <v>93299</v>
      </c>
      <c r="Q295" s="134">
        <v>24485</v>
      </c>
      <c r="R295" s="134">
        <v>529075</v>
      </c>
      <c r="S295" s="134">
        <v>16568</v>
      </c>
      <c r="T295" s="134">
        <v>209718</v>
      </c>
      <c r="U295" s="134">
        <v>1158426</v>
      </c>
      <c r="V295" s="134">
        <v>153371</v>
      </c>
      <c r="W295" s="134">
        <v>217721</v>
      </c>
      <c r="X295" s="134">
        <v>3095213</v>
      </c>
      <c r="Y295" s="134">
        <v>136357</v>
      </c>
      <c r="Z295" s="134">
        <v>798789</v>
      </c>
      <c r="AA295" s="134">
        <v>3813884</v>
      </c>
      <c r="AB295" s="134">
        <v>541879</v>
      </c>
      <c r="AC295" s="134"/>
      <c r="AD295" s="134"/>
      <c r="AE295" s="134"/>
      <c r="AF295" s="134">
        <v>46775</v>
      </c>
      <c r="AG295" s="134">
        <v>637712</v>
      </c>
      <c r="AH295" s="134">
        <v>34391</v>
      </c>
      <c r="AI295" s="134">
        <v>40086</v>
      </c>
      <c r="AJ295" s="134">
        <v>1354393</v>
      </c>
      <c r="AK295" s="134">
        <v>27758</v>
      </c>
      <c r="AL295" s="134">
        <v>103800</v>
      </c>
      <c r="AM295" s="134">
        <v>1788088</v>
      </c>
      <c r="AN295" s="134">
        <v>83337</v>
      </c>
    </row>
    <row r="296" spans="1:40" x14ac:dyDescent="0.15">
      <c r="A296" s="249" t="s">
        <v>115</v>
      </c>
      <c r="B296" s="210">
        <v>47666</v>
      </c>
      <c r="C296" s="210">
        <v>556331</v>
      </c>
      <c r="D296" s="210">
        <v>45365</v>
      </c>
      <c r="E296" s="210">
        <v>227634</v>
      </c>
      <c r="F296" s="210">
        <v>831919</v>
      </c>
      <c r="G296" s="210">
        <v>134217</v>
      </c>
      <c r="H296" s="210">
        <v>27289</v>
      </c>
      <c r="I296" s="210">
        <v>157841</v>
      </c>
      <c r="J296" s="210">
        <v>20405</v>
      </c>
      <c r="K296" s="210"/>
      <c r="L296" s="210"/>
      <c r="M296" s="210"/>
      <c r="N296" s="210">
        <v>135008</v>
      </c>
      <c r="O296" s="210">
        <v>1030437</v>
      </c>
      <c r="P296" s="210">
        <v>85292</v>
      </c>
      <c r="Q296" s="210">
        <v>8500</v>
      </c>
      <c r="R296" s="210">
        <v>77387</v>
      </c>
      <c r="S296" s="210">
        <v>7398</v>
      </c>
      <c r="T296" s="210">
        <v>217017</v>
      </c>
      <c r="U296" s="210">
        <v>1410082</v>
      </c>
      <c r="V296" s="210">
        <v>152381</v>
      </c>
      <c r="W296" s="210">
        <v>122447</v>
      </c>
      <c r="X296" s="210">
        <v>880907</v>
      </c>
      <c r="Y296" s="210">
        <v>62430</v>
      </c>
      <c r="Z296" s="210">
        <v>927701</v>
      </c>
      <c r="AA296" s="210">
        <v>4242224</v>
      </c>
      <c r="AB296" s="210">
        <v>529431</v>
      </c>
      <c r="AC296" s="210"/>
      <c r="AD296" s="210"/>
      <c r="AE296" s="210"/>
      <c r="AF296" s="210">
        <v>61588</v>
      </c>
      <c r="AG296" s="210">
        <v>689021</v>
      </c>
      <c r="AH296" s="210">
        <v>45672</v>
      </c>
      <c r="AI296" s="210">
        <v>54854</v>
      </c>
      <c r="AJ296" s="210">
        <v>358241</v>
      </c>
      <c r="AK296" s="210">
        <v>38963</v>
      </c>
      <c r="AL296" s="210">
        <v>116716</v>
      </c>
      <c r="AM296" s="210">
        <v>1207528</v>
      </c>
      <c r="AN296" s="210">
        <v>92528</v>
      </c>
    </row>
    <row r="297" spans="1:40" x14ac:dyDescent="0.15">
      <c r="A297" s="249" t="s">
        <v>143</v>
      </c>
      <c r="B297" s="210">
        <v>37605</v>
      </c>
      <c r="C297" s="210">
        <v>410065</v>
      </c>
      <c r="D297" s="210">
        <v>45480</v>
      </c>
      <c r="E297" s="210">
        <v>111889</v>
      </c>
      <c r="F297" s="210">
        <v>447092</v>
      </c>
      <c r="G297" s="210">
        <v>102102</v>
      </c>
      <c r="H297" s="210">
        <v>31492</v>
      </c>
      <c r="I297" s="210">
        <v>245674</v>
      </c>
      <c r="J297" s="210">
        <v>24594</v>
      </c>
      <c r="K297" s="210"/>
      <c r="L297" s="210"/>
      <c r="M297" s="210"/>
      <c r="N297" s="210">
        <v>248102</v>
      </c>
      <c r="O297" s="210">
        <v>1270592</v>
      </c>
      <c r="P297" s="210">
        <v>140161</v>
      </c>
      <c r="Q297" s="210">
        <v>14333</v>
      </c>
      <c r="R297" s="210">
        <v>194039</v>
      </c>
      <c r="S297" s="210">
        <v>14343</v>
      </c>
      <c r="T297" s="210">
        <v>175741</v>
      </c>
      <c r="U297" s="210">
        <v>1274426</v>
      </c>
      <c r="V297" s="210">
        <v>122443</v>
      </c>
      <c r="W297" s="210">
        <v>179846</v>
      </c>
      <c r="X297" s="210">
        <v>1336270</v>
      </c>
      <c r="Y297" s="210">
        <v>82313</v>
      </c>
      <c r="Z297" s="210">
        <v>767413</v>
      </c>
      <c r="AA297" s="210">
        <v>3326216</v>
      </c>
      <c r="AB297" s="210">
        <v>426051</v>
      </c>
      <c r="AC297" s="210">
        <v>108762</v>
      </c>
      <c r="AD297" s="210">
        <v>1933043</v>
      </c>
      <c r="AE297" s="210">
        <v>64501</v>
      </c>
      <c r="AF297" s="210">
        <v>69470</v>
      </c>
      <c r="AG297" s="210">
        <v>614180</v>
      </c>
      <c r="AH297" s="210">
        <v>58128</v>
      </c>
      <c r="AI297" s="210">
        <v>59354</v>
      </c>
      <c r="AJ297" s="210">
        <v>397802</v>
      </c>
      <c r="AK297" s="210">
        <v>39977</v>
      </c>
      <c r="AL297" s="210">
        <v>132816</v>
      </c>
      <c r="AM297" s="210">
        <v>1290401</v>
      </c>
      <c r="AN297" s="210">
        <v>107117</v>
      </c>
    </row>
    <row r="298" spans="1:40" x14ac:dyDescent="0.15">
      <c r="A298" s="249" t="s">
        <v>147</v>
      </c>
      <c r="B298" s="210">
        <v>33355</v>
      </c>
      <c r="C298" s="210">
        <v>340844</v>
      </c>
      <c r="D298" s="210">
        <v>51095</v>
      </c>
      <c r="E298" s="210">
        <v>480179</v>
      </c>
      <c r="F298" s="210">
        <v>1230269</v>
      </c>
      <c r="G298" s="210">
        <v>327218</v>
      </c>
      <c r="H298" s="210">
        <v>97015</v>
      </c>
      <c r="I298" s="210">
        <v>1921102</v>
      </c>
      <c r="J298" s="210">
        <v>78998</v>
      </c>
      <c r="K298" s="210"/>
      <c r="L298" s="210"/>
      <c r="M298" s="210"/>
      <c r="N298" s="210">
        <v>274957</v>
      </c>
      <c r="O298" s="210">
        <v>1488512</v>
      </c>
      <c r="P298" s="210">
        <v>190560</v>
      </c>
      <c r="Q298" s="210">
        <v>16453</v>
      </c>
      <c r="R298" s="210">
        <v>205823</v>
      </c>
      <c r="S298" s="210">
        <v>16588</v>
      </c>
      <c r="T298" s="210">
        <v>184383</v>
      </c>
      <c r="U298" s="210">
        <v>1298463</v>
      </c>
      <c r="V298" s="210">
        <v>150940</v>
      </c>
      <c r="W298" s="210">
        <v>233162</v>
      </c>
      <c r="X298" s="210">
        <v>1894087</v>
      </c>
      <c r="Y298" s="210">
        <v>127712</v>
      </c>
      <c r="Z298" s="210">
        <v>669496</v>
      </c>
      <c r="AA298" s="210">
        <v>2872296</v>
      </c>
      <c r="AB298" s="210">
        <v>448288</v>
      </c>
      <c r="AC298" s="210">
        <v>133631</v>
      </c>
      <c r="AD298" s="210">
        <v>2113562</v>
      </c>
      <c r="AE298" s="210">
        <v>108303</v>
      </c>
      <c r="AF298" s="210">
        <v>68344</v>
      </c>
      <c r="AG298" s="210">
        <v>460733</v>
      </c>
      <c r="AH298" s="210">
        <v>61243</v>
      </c>
      <c r="AI298" s="210">
        <v>52948</v>
      </c>
      <c r="AJ298" s="210">
        <v>359113</v>
      </c>
      <c r="AK298" s="210">
        <v>54355</v>
      </c>
      <c r="AL298" s="210">
        <v>136290</v>
      </c>
      <c r="AM298" s="210">
        <v>1208305</v>
      </c>
      <c r="AN298" s="210">
        <v>114834</v>
      </c>
    </row>
    <row r="299" spans="1:40" x14ac:dyDescent="0.15">
      <c r="A299" s="249" t="s">
        <v>159</v>
      </c>
      <c r="B299" s="210">
        <v>33263</v>
      </c>
      <c r="C299" s="210">
        <v>420619</v>
      </c>
      <c r="D299" s="210">
        <v>45234</v>
      </c>
      <c r="E299" s="210">
        <v>549537</v>
      </c>
      <c r="F299" s="210">
        <v>1537653</v>
      </c>
      <c r="G299" s="210">
        <v>285333</v>
      </c>
      <c r="H299" s="210">
        <v>100671</v>
      </c>
      <c r="I299" s="210">
        <v>2271751</v>
      </c>
      <c r="J299" s="210">
        <v>60258</v>
      </c>
      <c r="K299" s="210"/>
      <c r="L299" s="210"/>
      <c r="M299" s="210"/>
      <c r="N299" s="210">
        <v>276024</v>
      </c>
      <c r="O299" s="210">
        <v>1606374</v>
      </c>
      <c r="P299" s="210">
        <v>157952</v>
      </c>
      <c r="Q299" s="210">
        <v>16737</v>
      </c>
      <c r="R299" s="210">
        <v>283146</v>
      </c>
      <c r="S299" s="210">
        <v>15483</v>
      </c>
      <c r="T299" s="210">
        <v>161535</v>
      </c>
      <c r="U299" s="210">
        <v>1014846</v>
      </c>
      <c r="V299" s="210">
        <v>109773</v>
      </c>
      <c r="W299" s="210">
        <v>216175</v>
      </c>
      <c r="X299" s="210">
        <v>1853769</v>
      </c>
      <c r="Y299" s="210">
        <v>93361</v>
      </c>
      <c r="Z299" s="210">
        <v>539695</v>
      </c>
      <c r="AA299" s="210">
        <v>2291514</v>
      </c>
      <c r="AB299" s="210">
        <v>303277</v>
      </c>
      <c r="AC299" s="210">
        <v>135507</v>
      </c>
      <c r="AD299" s="210">
        <v>2017371</v>
      </c>
      <c r="AE299" s="210">
        <v>91821</v>
      </c>
      <c r="AF299" s="210">
        <v>69775</v>
      </c>
      <c r="AG299" s="210">
        <v>424965</v>
      </c>
      <c r="AH299" s="210">
        <v>56168</v>
      </c>
      <c r="AI299" s="210">
        <v>45760</v>
      </c>
      <c r="AJ299" s="210">
        <v>282108</v>
      </c>
      <c r="AK299" s="210">
        <v>36555</v>
      </c>
      <c r="AL299" s="210">
        <v>134251</v>
      </c>
      <c r="AM299" s="210">
        <v>1172964</v>
      </c>
      <c r="AN299" s="210">
        <v>104694</v>
      </c>
    </row>
    <row r="300" spans="1:40" x14ac:dyDescent="0.15">
      <c r="A300" s="249" t="s">
        <v>162</v>
      </c>
      <c r="B300" s="210">
        <v>98360</v>
      </c>
      <c r="C300" s="210">
        <v>252960</v>
      </c>
      <c r="D300" s="210">
        <v>114569</v>
      </c>
      <c r="E300" s="210">
        <v>587724</v>
      </c>
      <c r="F300" s="210">
        <v>819719</v>
      </c>
      <c r="G300" s="210">
        <v>377944</v>
      </c>
      <c r="H300" s="210">
        <v>113328</v>
      </c>
      <c r="I300" s="210">
        <v>1590534</v>
      </c>
      <c r="J300" s="210">
        <v>102005</v>
      </c>
      <c r="K300" s="210"/>
      <c r="L300" s="210"/>
      <c r="M300" s="210"/>
      <c r="N300" s="210">
        <v>286505</v>
      </c>
      <c r="O300" s="210">
        <v>896224</v>
      </c>
      <c r="P300" s="210">
        <v>213687</v>
      </c>
      <c r="Q300" s="210">
        <v>16681</v>
      </c>
      <c r="R300" s="210">
        <v>73905</v>
      </c>
      <c r="S300" s="210">
        <v>17730</v>
      </c>
      <c r="T300" s="210">
        <v>135606</v>
      </c>
      <c r="U300" s="210">
        <v>436954</v>
      </c>
      <c r="V300" s="210">
        <v>105217</v>
      </c>
      <c r="W300" s="210">
        <v>176742</v>
      </c>
      <c r="X300" s="210">
        <v>864500</v>
      </c>
      <c r="Y300" s="210">
        <v>112207</v>
      </c>
      <c r="Z300" s="210">
        <v>466207</v>
      </c>
      <c r="AA300" s="210">
        <v>1321536</v>
      </c>
      <c r="AB300" s="210">
        <v>296617</v>
      </c>
      <c r="AC300" s="210">
        <v>106572</v>
      </c>
      <c r="AD300" s="210">
        <v>516261</v>
      </c>
      <c r="AE300" s="210">
        <v>89168</v>
      </c>
      <c r="AF300" s="210">
        <v>68280</v>
      </c>
      <c r="AG300" s="210">
        <v>241781</v>
      </c>
      <c r="AH300" s="210">
        <v>60843</v>
      </c>
      <c r="AI300" s="210">
        <v>44883</v>
      </c>
      <c r="AJ300" s="210">
        <v>149671</v>
      </c>
      <c r="AK300" s="210">
        <v>39072</v>
      </c>
      <c r="AL300" s="210">
        <v>130094</v>
      </c>
      <c r="AM300" s="210">
        <v>566565</v>
      </c>
      <c r="AN300" s="210">
        <v>107713</v>
      </c>
    </row>
    <row r="301" spans="1:40" x14ac:dyDescent="0.15">
      <c r="A301" s="249" t="s">
        <v>167</v>
      </c>
      <c r="B301" s="210">
        <v>53749</v>
      </c>
      <c r="C301" s="210">
        <v>226043</v>
      </c>
      <c r="D301" s="210">
        <v>40605</v>
      </c>
      <c r="E301" s="210">
        <v>82302</v>
      </c>
      <c r="F301" s="210">
        <v>142933</v>
      </c>
      <c r="G301" s="210">
        <v>61709</v>
      </c>
      <c r="H301" s="210">
        <v>219702</v>
      </c>
      <c r="I301" s="210">
        <v>1698891</v>
      </c>
      <c r="J301" s="210">
        <v>141136</v>
      </c>
      <c r="K301" s="210"/>
      <c r="L301" s="210"/>
      <c r="M301" s="210"/>
      <c r="N301" s="210">
        <v>340247</v>
      </c>
      <c r="O301" s="210">
        <v>1356457</v>
      </c>
      <c r="P301" s="210">
        <v>219123</v>
      </c>
      <c r="Q301" s="210">
        <v>20119</v>
      </c>
      <c r="R301" s="210">
        <v>266314</v>
      </c>
      <c r="S301" s="210">
        <v>14713</v>
      </c>
      <c r="T301" s="210">
        <v>255271</v>
      </c>
      <c r="U301" s="210">
        <v>1816152</v>
      </c>
      <c r="V301" s="210">
        <v>145071</v>
      </c>
      <c r="W301" s="210">
        <v>478823</v>
      </c>
      <c r="X301" s="210">
        <v>4454013</v>
      </c>
      <c r="Y301" s="210">
        <v>295965</v>
      </c>
      <c r="Z301" s="210">
        <v>1334225</v>
      </c>
      <c r="AA301" s="210">
        <v>2350419</v>
      </c>
      <c r="AB301" s="210">
        <v>1024412</v>
      </c>
      <c r="AC301" s="210">
        <v>57137</v>
      </c>
      <c r="AD301" s="210">
        <v>391636</v>
      </c>
      <c r="AE301" s="210">
        <v>37621</v>
      </c>
      <c r="AF301" s="210">
        <v>64362</v>
      </c>
      <c r="AG301" s="210">
        <v>174951</v>
      </c>
      <c r="AH301" s="210">
        <v>42246</v>
      </c>
      <c r="AI301" s="210">
        <v>102174</v>
      </c>
      <c r="AJ301" s="210">
        <v>282429</v>
      </c>
      <c r="AK301" s="210">
        <v>68164</v>
      </c>
      <c r="AL301" s="210">
        <v>126873</v>
      </c>
      <c r="AM301" s="210">
        <v>604406</v>
      </c>
      <c r="AN301" s="210">
        <v>82182</v>
      </c>
    </row>
    <row r="302" spans="1:40" x14ac:dyDescent="0.15">
      <c r="A302" s="297" t="s">
        <v>209</v>
      </c>
      <c r="B302" s="290">
        <v>145652</v>
      </c>
      <c r="C302" s="290">
        <v>203159</v>
      </c>
      <c r="D302" s="290">
        <v>108537</v>
      </c>
      <c r="E302" s="290">
        <v>194045</v>
      </c>
      <c r="F302" s="290">
        <v>174360</v>
      </c>
      <c r="G302" s="290">
        <v>132327</v>
      </c>
      <c r="H302" s="290">
        <v>382926</v>
      </c>
      <c r="I302" s="290">
        <v>2099056</v>
      </c>
      <c r="J302" s="290">
        <v>111592</v>
      </c>
      <c r="K302" s="290">
        <v>20563</v>
      </c>
      <c r="L302" s="290">
        <v>17337</v>
      </c>
      <c r="M302" s="290">
        <v>11614</v>
      </c>
      <c r="N302" s="290">
        <v>457415</v>
      </c>
      <c r="O302" s="290">
        <v>1253378</v>
      </c>
      <c r="P302" s="290">
        <v>181990</v>
      </c>
      <c r="Q302" s="290">
        <v>59559</v>
      </c>
      <c r="R302" s="290">
        <v>588637</v>
      </c>
      <c r="S302" s="290">
        <v>49179</v>
      </c>
      <c r="T302" s="290">
        <v>582452</v>
      </c>
      <c r="U302" s="290">
        <v>1606878</v>
      </c>
      <c r="V302" s="290">
        <v>319848</v>
      </c>
      <c r="W302" s="290">
        <v>37499</v>
      </c>
      <c r="X302" s="290">
        <v>26434</v>
      </c>
      <c r="Y302" s="290">
        <v>31351</v>
      </c>
      <c r="Z302" s="290">
        <v>3328521</v>
      </c>
      <c r="AA302" s="290">
        <v>2509428</v>
      </c>
      <c r="AB302" s="290">
        <v>1872709</v>
      </c>
      <c r="AC302" s="290">
        <v>168713</v>
      </c>
      <c r="AD302" s="290">
        <v>586628</v>
      </c>
      <c r="AE302" s="290">
        <v>72925</v>
      </c>
      <c r="AF302" s="290">
        <v>230752</v>
      </c>
      <c r="AG302" s="290">
        <v>411706</v>
      </c>
      <c r="AH302" s="290">
        <v>111828</v>
      </c>
      <c r="AI302" s="290">
        <v>252727</v>
      </c>
      <c r="AJ302" s="290">
        <v>335991</v>
      </c>
      <c r="AK302" s="290">
        <v>139847</v>
      </c>
      <c r="AL302" s="290">
        <v>122313</v>
      </c>
      <c r="AM302" s="290">
        <v>212122</v>
      </c>
      <c r="AN302" s="290">
        <v>82660</v>
      </c>
    </row>
    <row r="303" spans="1:40" x14ac:dyDescent="0.15">
      <c r="A303" s="152" t="s">
        <v>54</v>
      </c>
      <c r="B303" s="134">
        <f t="shared" ref="B303:AN303" si="234">SUM(B284:B302)</f>
        <v>1878283</v>
      </c>
      <c r="C303" s="134">
        <f t="shared" si="234"/>
        <v>18291983</v>
      </c>
      <c r="D303" s="134">
        <f t="shared" si="234"/>
        <v>1414242</v>
      </c>
      <c r="E303" s="134">
        <f t="shared" si="234"/>
        <v>2691737</v>
      </c>
      <c r="F303" s="134">
        <f t="shared" si="234"/>
        <v>7548328</v>
      </c>
      <c r="G303" s="134">
        <f t="shared" si="234"/>
        <v>1710502</v>
      </c>
      <c r="H303" s="134">
        <f t="shared" si="234"/>
        <v>1058504</v>
      </c>
      <c r="I303" s="134">
        <f t="shared" si="234"/>
        <v>11131499</v>
      </c>
      <c r="J303" s="134">
        <f t="shared" si="234"/>
        <v>605242</v>
      </c>
      <c r="K303" s="134"/>
      <c r="L303" s="134"/>
      <c r="M303" s="134"/>
      <c r="N303" s="134">
        <f t="shared" si="234"/>
        <v>4244826</v>
      </c>
      <c r="O303" s="134">
        <f t="shared" si="234"/>
        <v>68591655</v>
      </c>
      <c r="P303" s="134">
        <f t="shared" si="234"/>
        <v>2470102</v>
      </c>
      <c r="Q303" s="134">
        <f t="shared" si="234"/>
        <v>262924</v>
      </c>
      <c r="R303" s="134">
        <f t="shared" si="234"/>
        <v>3243717</v>
      </c>
      <c r="S303" s="134">
        <f t="shared" si="234"/>
        <v>211842</v>
      </c>
      <c r="T303" s="134">
        <f t="shared" si="234"/>
        <v>3234714</v>
      </c>
      <c r="U303" s="134">
        <f t="shared" si="234"/>
        <v>19165488</v>
      </c>
      <c r="V303" s="134">
        <f t="shared" si="234"/>
        <v>2196584</v>
      </c>
      <c r="W303" s="134">
        <f t="shared" si="234"/>
        <v>5053652</v>
      </c>
      <c r="X303" s="134">
        <f t="shared" si="234"/>
        <v>56868696</v>
      </c>
      <c r="Y303" s="134">
        <f t="shared" si="234"/>
        <v>2686602</v>
      </c>
      <c r="Z303" s="134">
        <f t="shared" si="234"/>
        <v>14903925</v>
      </c>
      <c r="AA303" s="134">
        <f t="shared" si="234"/>
        <v>60541184</v>
      </c>
      <c r="AB303" s="134">
        <f t="shared" si="234"/>
        <v>9562229</v>
      </c>
      <c r="AC303" s="134">
        <f t="shared" si="234"/>
        <v>710322</v>
      </c>
      <c r="AD303" s="134">
        <f t="shared" si="234"/>
        <v>7558501</v>
      </c>
      <c r="AE303" s="134">
        <f t="shared" si="234"/>
        <v>464339</v>
      </c>
      <c r="AF303" s="134">
        <f t="shared" si="234"/>
        <v>902544</v>
      </c>
      <c r="AG303" s="134">
        <f t="shared" si="234"/>
        <v>5539282</v>
      </c>
      <c r="AH303" s="134">
        <f t="shared" si="234"/>
        <v>635814</v>
      </c>
      <c r="AI303" s="134">
        <f t="shared" si="234"/>
        <v>985663</v>
      </c>
      <c r="AJ303" s="134">
        <f t="shared" si="234"/>
        <v>6132770</v>
      </c>
      <c r="AK303" s="134">
        <f t="shared" si="234"/>
        <v>669197</v>
      </c>
      <c r="AL303" s="134">
        <f t="shared" si="234"/>
        <v>2036758</v>
      </c>
      <c r="AM303" s="134">
        <f t="shared" si="234"/>
        <v>15868127</v>
      </c>
      <c r="AN303" s="134">
        <f t="shared" si="234"/>
        <v>1627976</v>
      </c>
    </row>
    <row r="307" spans="1:4" x14ac:dyDescent="0.15">
      <c r="D307" s="261"/>
    </row>
    <row r="310" spans="1:4" x14ac:dyDescent="0.15">
      <c r="A310" s="32" t="s">
        <v>101</v>
      </c>
    </row>
  </sheetData>
  <mergeCells count="34">
    <mergeCell ref="B139:M139"/>
    <mergeCell ref="B19:M19"/>
    <mergeCell ref="B35:M35"/>
    <mergeCell ref="B71:M71"/>
    <mergeCell ref="B87:M87"/>
    <mergeCell ref="B123:M123"/>
    <mergeCell ref="B229:M229"/>
    <mergeCell ref="B245:M245"/>
    <mergeCell ref="A175:H175"/>
    <mergeCell ref="A155:M155"/>
    <mergeCell ref="B262:D262"/>
    <mergeCell ref="E262:G262"/>
    <mergeCell ref="H262:J262"/>
    <mergeCell ref="K262:M262"/>
    <mergeCell ref="AD244:AF244"/>
    <mergeCell ref="AG244:AI244"/>
    <mergeCell ref="O244:Q244"/>
    <mergeCell ref="R244:T244"/>
    <mergeCell ref="U244:W244"/>
    <mergeCell ref="X244:Z244"/>
    <mergeCell ref="AA244:AC244"/>
    <mergeCell ref="AI282:AK282"/>
    <mergeCell ref="AL282:AN282"/>
    <mergeCell ref="B282:D282"/>
    <mergeCell ref="E282:G282"/>
    <mergeCell ref="H282:J282"/>
    <mergeCell ref="N282:P282"/>
    <mergeCell ref="Q282:S282"/>
    <mergeCell ref="T282:V282"/>
    <mergeCell ref="W282:Y282"/>
    <mergeCell ref="Z282:AB282"/>
    <mergeCell ref="AC282:AE282"/>
    <mergeCell ref="AF282:AH282"/>
    <mergeCell ref="K282:M282"/>
  </mergeCells>
  <pageMargins left="0.75" right="0.75" top="1" bottom="1" header="0.5" footer="0.5"/>
  <pageSetup scale="75" orientation="landscape" r:id="rId1"/>
  <headerFooter alignWithMargins="0"/>
  <ignoredErrors>
    <ignoredError sqref="H118" formula="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F108"/>
  <sheetViews>
    <sheetView topLeftCell="Q2" zoomScale="238" zoomScaleNormal="237" zoomScaleSheetLayoutView="90" workbookViewId="0">
      <selection activeCell="V12" sqref="V12"/>
    </sheetView>
  </sheetViews>
  <sheetFormatPr baseColWidth="10" defaultColWidth="8.83203125" defaultRowHeight="13" x14ac:dyDescent="0.15"/>
  <cols>
    <col min="1" max="2" width="6" customWidth="1"/>
    <col min="3" max="3" width="15.6640625" customWidth="1"/>
    <col min="4" max="4" width="22.5" customWidth="1"/>
    <col min="5" max="5" width="15.6640625" customWidth="1"/>
    <col min="6" max="6" width="17.5" customWidth="1"/>
    <col min="7" max="7" width="15.1640625" customWidth="1"/>
    <col min="8" max="8" width="18.83203125" bestFit="1" customWidth="1"/>
    <col min="9" max="9" width="17" customWidth="1"/>
    <col min="10" max="10" width="14.33203125" customWidth="1"/>
    <col min="11" max="11" width="13.6640625" bestFit="1" customWidth="1"/>
    <col min="12" max="13" width="14.5" customWidth="1"/>
    <col min="14" max="14" width="12.83203125" customWidth="1"/>
    <col min="15" max="15" width="13.5" customWidth="1"/>
    <col min="16" max="16" width="15" bestFit="1" customWidth="1"/>
    <col min="17" max="17" width="14.6640625" bestFit="1" customWidth="1"/>
    <col min="19" max="19" width="13.33203125" customWidth="1"/>
    <col min="21" max="21" width="17.33203125" customWidth="1"/>
    <col min="22" max="22" width="20.33203125" customWidth="1"/>
    <col min="23" max="23" width="19.1640625" customWidth="1"/>
    <col min="24" max="24" width="41.1640625" customWidth="1"/>
    <col min="26" max="26" width="49.33203125" customWidth="1"/>
    <col min="27" max="27" width="19.1640625" customWidth="1"/>
  </cols>
  <sheetData>
    <row r="1" spans="1:32" ht="39" customHeight="1" x14ac:dyDescent="0.15">
      <c r="C1" s="386" t="s">
        <v>70</v>
      </c>
      <c r="D1" s="386"/>
      <c r="E1" s="386"/>
      <c r="F1" s="386"/>
      <c r="G1" s="386"/>
      <c r="H1" s="386"/>
      <c r="I1" s="386"/>
      <c r="J1" s="386"/>
      <c r="K1" s="386"/>
      <c r="L1" s="386"/>
      <c r="M1" s="386"/>
      <c r="N1" s="386"/>
      <c r="O1" s="386"/>
      <c r="P1" s="386"/>
      <c r="W1" t="s">
        <v>225</v>
      </c>
      <c r="X1" t="s">
        <v>226</v>
      </c>
      <c r="AB1" t="s">
        <v>120</v>
      </c>
    </row>
    <row r="2" spans="1:32" ht="42" customHeight="1" thickBot="1" x14ac:dyDescent="0.2">
      <c r="A2" s="119"/>
      <c r="B2" t="s">
        <v>92</v>
      </c>
      <c r="F2" t="s">
        <v>217</v>
      </c>
      <c r="I2" s="314" t="s">
        <v>218</v>
      </c>
      <c r="K2" t="s">
        <v>220</v>
      </c>
      <c r="U2" t="s">
        <v>157</v>
      </c>
      <c r="V2" t="s">
        <v>157</v>
      </c>
      <c r="Z2" t="s">
        <v>224</v>
      </c>
      <c r="AA2" t="s">
        <v>90</v>
      </c>
      <c r="AE2" t="s">
        <v>223</v>
      </c>
      <c r="AF2" t="s">
        <v>171</v>
      </c>
    </row>
    <row r="3" spans="1:32" ht="43" thickBot="1" x14ac:dyDescent="0.2">
      <c r="C3" s="26" t="s">
        <v>36</v>
      </c>
      <c r="D3" s="27" t="s">
        <v>19</v>
      </c>
      <c r="E3" s="11" t="s">
        <v>134</v>
      </c>
      <c r="F3" s="11" t="s">
        <v>132</v>
      </c>
      <c r="G3" s="27" t="s">
        <v>20</v>
      </c>
      <c r="H3" s="27" t="s">
        <v>133</v>
      </c>
      <c r="I3" s="27" t="s">
        <v>219</v>
      </c>
      <c r="J3" s="27" t="s">
        <v>128</v>
      </c>
      <c r="K3" s="27" t="s">
        <v>129</v>
      </c>
      <c r="L3" s="163" t="s">
        <v>207</v>
      </c>
      <c r="M3" s="163" t="s">
        <v>208</v>
      </c>
      <c r="N3" s="11" t="s">
        <v>21</v>
      </c>
      <c r="O3" s="11" t="s">
        <v>71</v>
      </c>
      <c r="P3" s="163" t="s">
        <v>169</v>
      </c>
      <c r="Q3" s="163" t="s">
        <v>170</v>
      </c>
      <c r="R3" s="11" t="s">
        <v>22</v>
      </c>
      <c r="S3" s="11" t="s">
        <v>23</v>
      </c>
      <c r="T3" s="11" t="s">
        <v>24</v>
      </c>
      <c r="U3" s="194" t="s">
        <v>158</v>
      </c>
      <c r="V3" s="194" t="s">
        <v>221</v>
      </c>
      <c r="Z3" s="224" t="s">
        <v>137</v>
      </c>
      <c r="AA3" s="225">
        <v>17496</v>
      </c>
    </row>
    <row r="4" spans="1:32" ht="34" customHeight="1" thickBot="1" x14ac:dyDescent="0.2">
      <c r="C4" s="22" t="s">
        <v>3</v>
      </c>
      <c r="D4" s="285">
        <v>2122</v>
      </c>
      <c r="F4" s="290">
        <v>108537</v>
      </c>
      <c r="G4" s="284">
        <v>6904</v>
      </c>
      <c r="I4" s="134">
        <f>F4+G4</f>
        <v>115441</v>
      </c>
      <c r="K4" s="290">
        <v>145652</v>
      </c>
      <c r="L4" s="306">
        <v>44.476962</v>
      </c>
      <c r="M4" s="306">
        <v>2989.7290624999996</v>
      </c>
      <c r="N4" s="112">
        <f>M4/365</f>
        <v>8.191038527397259</v>
      </c>
      <c r="O4" s="306">
        <v>11572.795703125001</v>
      </c>
      <c r="P4" s="306">
        <v>980.9520410156249</v>
      </c>
      <c r="Q4" s="306">
        <v>14.920521000000001</v>
      </c>
      <c r="R4" s="113">
        <f>$D40</f>
        <v>64.438758000000007</v>
      </c>
      <c r="S4" s="113">
        <f>$D82</f>
        <v>21456.394719662607</v>
      </c>
      <c r="T4" s="262">
        <f>S4/365</f>
        <v>58.784643067568787</v>
      </c>
      <c r="U4" s="286">
        <v>1817.561240234375</v>
      </c>
      <c r="V4" s="285">
        <v>24482885</v>
      </c>
      <c r="Z4" s="226" t="s">
        <v>150</v>
      </c>
      <c r="AA4" s="227" t="s">
        <v>187</v>
      </c>
    </row>
    <row r="5" spans="1:32" ht="20" thickBot="1" x14ac:dyDescent="0.2">
      <c r="C5" s="22" t="s">
        <v>4</v>
      </c>
      <c r="D5" s="285">
        <v>189</v>
      </c>
      <c r="F5" s="290">
        <v>132327</v>
      </c>
      <c r="G5" s="284">
        <v>464179</v>
      </c>
      <c r="I5" s="134">
        <f t="shared" ref="I5:I16" si="0">F5+G5</f>
        <v>596506</v>
      </c>
      <c r="K5" s="290">
        <v>194045</v>
      </c>
      <c r="L5" s="306">
        <v>67.157526000000004</v>
      </c>
      <c r="M5" s="306">
        <v>9517.7365136718745</v>
      </c>
      <c r="N5" s="112">
        <f t="shared" ref="N5:N16" si="1">M5/365</f>
        <v>26.075990448416096</v>
      </c>
      <c r="O5" s="306">
        <v>43735.495693359378</v>
      </c>
      <c r="P5" s="306">
        <v>13244.450244140624</v>
      </c>
      <c r="Q5" s="306">
        <v>18.526211</v>
      </c>
      <c r="R5" s="113">
        <f>$E40</f>
        <v>220.06076999999999</v>
      </c>
      <c r="S5" s="113">
        <f>$E82</f>
        <v>86806.466648276764</v>
      </c>
      <c r="T5" s="262">
        <f t="shared" ref="T5:T17" si="2">S5/365</f>
        <v>237.82593602267607</v>
      </c>
      <c r="U5" s="287">
        <v>40508.133574218751</v>
      </c>
      <c r="V5" s="285">
        <v>204711060</v>
      </c>
      <c r="Z5" s="226" t="s">
        <v>151</v>
      </c>
      <c r="AA5" s="228" t="s">
        <v>188</v>
      </c>
    </row>
    <row r="6" spans="1:32" ht="20" thickBot="1" x14ac:dyDescent="0.2">
      <c r="C6" s="22" t="s">
        <v>5</v>
      </c>
      <c r="D6" s="285">
        <v>158</v>
      </c>
      <c r="F6" s="290">
        <v>111592</v>
      </c>
      <c r="G6" s="284">
        <v>98145</v>
      </c>
      <c r="I6" s="134">
        <f t="shared" si="0"/>
        <v>209737</v>
      </c>
      <c r="K6" s="290">
        <v>382926</v>
      </c>
      <c r="L6" s="306">
        <v>34.403365999999998</v>
      </c>
      <c r="M6" s="306">
        <v>16.907392578124998</v>
      </c>
      <c r="N6" s="112">
        <f t="shared" si="1"/>
        <v>4.6321623501712324E-2</v>
      </c>
      <c r="O6" s="306">
        <v>139.74819335937499</v>
      </c>
      <c r="P6" s="306">
        <v>29.061025390625002</v>
      </c>
      <c r="Q6" s="306">
        <v>62.760956999999998</v>
      </c>
      <c r="R6" s="113">
        <f>$F40</f>
        <v>1192.952957</v>
      </c>
      <c r="S6" s="113">
        <f>$F82</f>
        <v>1508.5462092773241</v>
      </c>
      <c r="T6" s="262">
        <f t="shared" si="2"/>
        <v>4.1330033130885591</v>
      </c>
      <c r="U6" s="285">
        <v>0</v>
      </c>
      <c r="V6" s="285"/>
      <c r="Z6" s="226" t="s">
        <v>176</v>
      </c>
      <c r="AA6" s="227" t="s">
        <v>177</v>
      </c>
    </row>
    <row r="7" spans="1:32" ht="20" thickBot="1" x14ac:dyDescent="0.2">
      <c r="C7" s="250" t="s">
        <v>161</v>
      </c>
      <c r="D7" s="285">
        <v>12</v>
      </c>
      <c r="F7" s="290">
        <v>11614</v>
      </c>
      <c r="G7" s="284">
        <v>670</v>
      </c>
      <c r="I7" s="134">
        <f t="shared" si="0"/>
        <v>12284</v>
      </c>
      <c r="K7" s="290">
        <v>20563</v>
      </c>
      <c r="L7" s="291">
        <v>13.141473</v>
      </c>
      <c r="M7" s="291">
        <v>5517.9764746093751</v>
      </c>
      <c r="N7" s="133"/>
      <c r="O7" s="291">
        <v>14610.067177734374</v>
      </c>
      <c r="P7" s="291">
        <v>8954.9492675781257</v>
      </c>
      <c r="Q7" s="291">
        <v>19.758019999999998</v>
      </c>
      <c r="R7" s="132"/>
      <c r="S7" s="132"/>
      <c r="T7" s="262"/>
      <c r="U7" s="285">
        <v>14610.067177734374</v>
      </c>
      <c r="V7" s="285">
        <v>155485</v>
      </c>
      <c r="Z7" s="226" t="s">
        <v>152</v>
      </c>
      <c r="AA7" s="229" t="s">
        <v>178</v>
      </c>
    </row>
    <row r="8" spans="1:32" ht="20" thickBot="1" x14ac:dyDescent="0.2">
      <c r="C8" s="22" t="s">
        <v>6</v>
      </c>
      <c r="D8" s="285">
        <v>4968</v>
      </c>
      <c r="F8" s="290">
        <v>181990</v>
      </c>
      <c r="G8" s="284">
        <v>1325041</v>
      </c>
      <c r="I8" s="134">
        <f t="shared" si="0"/>
        <v>1507031</v>
      </c>
      <c r="K8" s="290">
        <v>457415</v>
      </c>
      <c r="L8" s="306">
        <v>146.19754</v>
      </c>
      <c r="M8" s="306">
        <v>5388.1957421875004</v>
      </c>
      <c r="N8" s="112">
        <f t="shared" si="1"/>
        <v>14.762180115582193</v>
      </c>
      <c r="O8" s="306">
        <v>13464.434580078127</v>
      </c>
      <c r="P8" s="306">
        <v>4248.5872949218756</v>
      </c>
      <c r="Q8" s="306">
        <v>118.732321</v>
      </c>
      <c r="R8" s="113">
        <f>$H40</f>
        <v>777.52756899999997</v>
      </c>
      <c r="S8" s="113">
        <f>$H82</f>
        <v>17779.891098175529</v>
      </c>
      <c r="T8" s="262">
        <f t="shared" si="2"/>
        <v>48.712030405960355</v>
      </c>
      <c r="U8" s="287">
        <v>5719.6893554687504</v>
      </c>
      <c r="V8" s="285">
        <v>284197543</v>
      </c>
      <c r="Z8" s="226" t="s">
        <v>153</v>
      </c>
      <c r="AA8" s="229" t="s">
        <v>179</v>
      </c>
    </row>
    <row r="9" spans="1:32" ht="39" thickBot="1" x14ac:dyDescent="0.2">
      <c r="C9" s="22" t="s">
        <v>7</v>
      </c>
      <c r="D9" s="285">
        <v>497</v>
      </c>
      <c r="F9" s="290">
        <v>49179</v>
      </c>
      <c r="G9" s="284">
        <v>2119</v>
      </c>
      <c r="I9" s="134">
        <f t="shared" si="0"/>
        <v>51298</v>
      </c>
      <c r="K9" s="290">
        <v>59559</v>
      </c>
      <c r="L9" s="306">
        <v>5.5461520000000002</v>
      </c>
      <c r="M9" s="306">
        <v>67.611181640625006</v>
      </c>
      <c r="N9" s="112">
        <f t="shared" si="1"/>
        <v>0.18523611408390411</v>
      </c>
      <c r="O9" s="306">
        <v>491.69114257812498</v>
      </c>
      <c r="P9" s="306">
        <v>338.80711914062499</v>
      </c>
      <c r="Q9" s="306">
        <v>4.3783139999999996</v>
      </c>
      <c r="R9" s="113">
        <f>$I40</f>
        <v>16.489101999999999</v>
      </c>
      <c r="S9" s="113">
        <f>$I82</f>
        <v>48.377376769058102</v>
      </c>
      <c r="T9" s="262">
        <f t="shared" si="2"/>
        <v>0.13254075827139206</v>
      </c>
      <c r="U9" s="287">
        <v>445.84144531250001</v>
      </c>
      <c r="V9" s="285">
        <v>16489102</v>
      </c>
      <c r="Z9" s="226" t="s">
        <v>154</v>
      </c>
      <c r="AA9" s="230" t="s">
        <v>191</v>
      </c>
    </row>
    <row r="10" spans="1:32" ht="39" thickBot="1" x14ac:dyDescent="0.2">
      <c r="C10" s="24" t="s">
        <v>14</v>
      </c>
      <c r="D10" s="285">
        <v>1067</v>
      </c>
      <c r="F10" s="290">
        <v>319848</v>
      </c>
      <c r="G10" s="284">
        <v>242896</v>
      </c>
      <c r="H10" s="260"/>
      <c r="I10" s="134">
        <f t="shared" si="0"/>
        <v>562744</v>
      </c>
      <c r="K10" s="290">
        <v>582452</v>
      </c>
      <c r="L10" s="306">
        <v>219.15230299999999</v>
      </c>
      <c r="M10" s="306">
        <v>8781.5195214843752</v>
      </c>
      <c r="N10" s="112">
        <f t="shared" si="1"/>
        <v>24.058957593107877</v>
      </c>
      <c r="O10" s="306">
        <v>24844.800576171878</v>
      </c>
      <c r="P10" s="306">
        <v>6304.9690527343755</v>
      </c>
      <c r="Q10" s="306">
        <v>183.08408299999999</v>
      </c>
      <c r="R10" s="113">
        <f>$J40</f>
        <v>3523.2388449999999</v>
      </c>
      <c r="S10" s="113">
        <f>$J82</f>
        <v>40832.780262161556</v>
      </c>
      <c r="T10" s="262">
        <f t="shared" si="2"/>
        <v>111.87063085523714</v>
      </c>
      <c r="U10" s="287">
        <v>19162.225107421877</v>
      </c>
      <c r="V10" s="285">
        <v>3393671637</v>
      </c>
      <c r="Z10" s="226" t="s">
        <v>155</v>
      </c>
      <c r="AA10" s="230" t="s">
        <v>180</v>
      </c>
    </row>
    <row r="11" spans="1:32" ht="20" thickBot="1" x14ac:dyDescent="0.2">
      <c r="C11" s="24" t="s">
        <v>114</v>
      </c>
      <c r="D11" s="285">
        <v>1389</v>
      </c>
      <c r="F11" s="290">
        <v>31351</v>
      </c>
      <c r="G11" s="284">
        <v>811714</v>
      </c>
      <c r="H11" s="260"/>
      <c r="I11" s="134">
        <f t="shared" si="0"/>
        <v>843065</v>
      </c>
      <c r="K11" s="290">
        <v>37499</v>
      </c>
      <c r="L11" s="306">
        <v>197.11997099999999</v>
      </c>
      <c r="M11" s="306">
        <v>7456.4724999999999</v>
      </c>
      <c r="N11" s="112">
        <f t="shared" si="1"/>
        <v>20.428691780821918</v>
      </c>
      <c r="O11" s="306">
        <v>34413.696064453128</v>
      </c>
      <c r="P11" s="306">
        <v>10369.980322265626</v>
      </c>
      <c r="Q11" s="306">
        <v>402.63631199999998</v>
      </c>
      <c r="R11" s="113">
        <f>$K40</f>
        <v>898.25093600000002</v>
      </c>
      <c r="S11" s="113">
        <f>$K82</f>
        <v>18806.544330172528</v>
      </c>
      <c r="T11" s="262">
        <f t="shared" si="2"/>
        <v>51.524778986774052</v>
      </c>
      <c r="U11" s="285">
        <v>8727.2242480468758</v>
      </c>
      <c r="V11" s="285">
        <v>74916694</v>
      </c>
      <c r="Z11" s="226" t="s">
        <v>156</v>
      </c>
      <c r="AA11" s="227" t="s">
        <v>181</v>
      </c>
    </row>
    <row r="12" spans="1:32" ht="14" thickBot="1" x14ac:dyDescent="0.2">
      <c r="C12" s="24" t="s">
        <v>8</v>
      </c>
      <c r="D12" s="285">
        <v>1855</v>
      </c>
      <c r="F12" s="290">
        <v>1872709</v>
      </c>
      <c r="G12" s="284">
        <v>48658</v>
      </c>
      <c r="I12" s="134">
        <f t="shared" si="0"/>
        <v>1921367</v>
      </c>
      <c r="K12" s="290">
        <v>3328521</v>
      </c>
      <c r="L12" s="306">
        <v>90.384341000000006</v>
      </c>
      <c r="M12" s="306">
        <v>4103.9428808593748</v>
      </c>
      <c r="N12" s="112">
        <f t="shared" si="1"/>
        <v>11.243679125642123</v>
      </c>
      <c r="O12" s="306">
        <v>8941.1736328124989</v>
      </c>
      <c r="P12" s="306">
        <v>2850.2229882812499</v>
      </c>
      <c r="Q12" s="306">
        <v>70.187579999999997</v>
      </c>
      <c r="R12" s="113">
        <f>$L40</f>
        <v>308.29813300000001</v>
      </c>
      <c r="S12" s="113">
        <f>$L82</f>
        <v>19040.517111921763</v>
      </c>
      <c r="T12" s="262">
        <f t="shared" si="2"/>
        <v>52.165800306634964</v>
      </c>
      <c r="U12" s="287">
        <v>4529.2617773437496</v>
      </c>
      <c r="V12" s="285">
        <v>142383316</v>
      </c>
      <c r="AA12" t="s">
        <v>121</v>
      </c>
    </row>
    <row r="13" spans="1:32" ht="20" thickBot="1" x14ac:dyDescent="0.2">
      <c r="C13" s="24" t="s">
        <v>17</v>
      </c>
      <c r="D13" s="285">
        <v>1208</v>
      </c>
      <c r="F13" s="290">
        <v>72925</v>
      </c>
      <c r="G13" s="284">
        <v>19170</v>
      </c>
      <c r="I13" s="134">
        <f t="shared" si="0"/>
        <v>92095</v>
      </c>
      <c r="K13" s="290">
        <v>168713</v>
      </c>
      <c r="L13" s="306">
        <v>29.198504</v>
      </c>
      <c r="M13" s="306">
        <v>3121.6328906250001</v>
      </c>
      <c r="N13" s="112">
        <f t="shared" si="1"/>
        <v>8.5524188784246569</v>
      </c>
      <c r="O13" s="306">
        <v>8363.0679296875005</v>
      </c>
      <c r="P13" s="306">
        <v>938.92147460937497</v>
      </c>
      <c r="Q13" s="306">
        <v>6.8423889999999998</v>
      </c>
      <c r="R13" s="113">
        <f>$M40</f>
        <v>83.849919999999997</v>
      </c>
      <c r="S13" s="113">
        <f>$M82</f>
        <v>3590.8465475862404</v>
      </c>
      <c r="T13" s="262">
        <f t="shared" si="2"/>
        <v>9.8379357468116169</v>
      </c>
      <c r="U13" s="285">
        <v>2211.3150976562501</v>
      </c>
      <c r="V13" s="285">
        <v>6135358</v>
      </c>
      <c r="Z13" s="224" t="s">
        <v>137</v>
      </c>
      <c r="AA13" s="225">
        <v>18755</v>
      </c>
      <c r="AC13">
        <v>2044873</v>
      </c>
    </row>
    <row r="14" spans="1:32" ht="39" thickBot="1" x14ac:dyDescent="0.2">
      <c r="C14" s="24" t="s">
        <v>9</v>
      </c>
      <c r="D14" s="285">
        <v>3223</v>
      </c>
      <c r="F14" s="290">
        <v>139847</v>
      </c>
      <c r="G14" s="284">
        <v>271250</v>
      </c>
      <c r="I14" s="134">
        <f t="shared" si="0"/>
        <v>411097</v>
      </c>
      <c r="K14" s="290">
        <v>252727</v>
      </c>
      <c r="L14" s="306">
        <v>5.247331</v>
      </c>
      <c r="M14" s="306">
        <v>470.424619140625</v>
      </c>
      <c r="N14" s="112">
        <f t="shared" si="1"/>
        <v>1.2888345729880137</v>
      </c>
      <c r="O14" s="306">
        <v>798.90957031250002</v>
      </c>
      <c r="P14" s="306">
        <v>326.33030273437498</v>
      </c>
      <c r="Q14" s="306">
        <v>3.6057229999999998</v>
      </c>
      <c r="R14" s="113">
        <f>$N40</f>
        <v>192.542092</v>
      </c>
      <c r="S14" s="113">
        <f>$N82</f>
        <v>2722.0789968397062</v>
      </c>
      <c r="T14" s="262">
        <f t="shared" si="2"/>
        <v>7.457750676273168</v>
      </c>
      <c r="U14" s="287">
        <v>570.39336914062505</v>
      </c>
      <c r="V14" s="285">
        <v>5029807</v>
      </c>
      <c r="Z14" s="226" t="s">
        <v>150</v>
      </c>
      <c r="AA14" s="227" t="s">
        <v>227</v>
      </c>
      <c r="AC14" t="s">
        <v>96</v>
      </c>
    </row>
    <row r="15" spans="1:32" ht="26" customHeight="1" thickBot="1" x14ac:dyDescent="0.2">
      <c r="C15" s="24" t="s">
        <v>12</v>
      </c>
      <c r="D15" s="285">
        <v>898</v>
      </c>
      <c r="F15" s="290">
        <v>111828</v>
      </c>
      <c r="G15" s="284">
        <v>17449</v>
      </c>
      <c r="I15" s="134">
        <f t="shared" si="0"/>
        <v>129277</v>
      </c>
      <c r="K15" s="290">
        <v>230752</v>
      </c>
      <c r="L15" s="306">
        <v>25.121749000000001</v>
      </c>
      <c r="M15" s="306">
        <v>10964.376601562499</v>
      </c>
      <c r="N15" s="112">
        <f t="shared" si="1"/>
        <v>30.039387949486297</v>
      </c>
      <c r="O15" s="306">
        <v>21625.814306640626</v>
      </c>
      <c r="P15" s="306">
        <v>7478.8904101562503</v>
      </c>
      <c r="Q15" s="306">
        <v>19.237860000000001</v>
      </c>
      <c r="R15" s="113">
        <f>$O40</f>
        <v>163.94438700000001</v>
      </c>
      <c r="S15" s="113">
        <f>$O82</f>
        <v>4325.0380257007191</v>
      </c>
      <c r="T15" s="262">
        <f t="shared" si="2"/>
        <v>11.849419248495121</v>
      </c>
      <c r="U15" s="287">
        <v>20606.0299609375</v>
      </c>
      <c r="V15" s="285">
        <v>163944387</v>
      </c>
      <c r="Z15" s="226" t="s">
        <v>151</v>
      </c>
      <c r="AA15" s="228" t="s">
        <v>228</v>
      </c>
      <c r="AC15" t="s">
        <v>94</v>
      </c>
    </row>
    <row r="16" spans="1:32" ht="20" thickBot="1" x14ac:dyDescent="0.2">
      <c r="C16" s="24" t="s">
        <v>10</v>
      </c>
      <c r="D16" s="285">
        <v>600</v>
      </c>
      <c r="F16" s="290">
        <v>82660</v>
      </c>
      <c r="G16" s="284">
        <v>113857</v>
      </c>
      <c r="I16" s="134">
        <f t="shared" si="0"/>
        <v>196517</v>
      </c>
      <c r="K16" s="290">
        <v>122313</v>
      </c>
      <c r="L16" s="306">
        <v>3.8000000000000002E-5</v>
      </c>
      <c r="M16" s="306">
        <v>7.8613281250000007E-3</v>
      </c>
      <c r="N16" s="112">
        <f t="shared" si="1"/>
        <v>2.1537885273972605E-5</v>
      </c>
      <c r="O16" s="306">
        <v>15.893154296875</v>
      </c>
      <c r="P16" s="306">
        <v>1.9879003906249999</v>
      </c>
      <c r="Q16" s="306">
        <v>2.1999999999999999E-5</v>
      </c>
      <c r="R16" s="113">
        <f>$P40</f>
        <v>1.294082</v>
      </c>
      <c r="S16" s="113">
        <f>$P82</f>
        <v>27.406947322416215</v>
      </c>
      <c r="T16" s="262">
        <f t="shared" si="2"/>
        <v>7.5087526910729355E-2</v>
      </c>
      <c r="U16" s="285">
        <v>0</v>
      </c>
      <c r="V16" s="285"/>
      <c r="Z16" s="226" t="s">
        <v>0</v>
      </c>
      <c r="AA16" s="227" t="s">
        <v>229</v>
      </c>
      <c r="AC16" t="s">
        <v>95</v>
      </c>
    </row>
    <row r="17" spans="1:29" s="3" customFormat="1" ht="22" customHeight="1" thickBot="1" x14ac:dyDescent="0.2">
      <c r="A17"/>
      <c r="B17"/>
      <c r="C17" s="25" t="s">
        <v>11</v>
      </c>
      <c r="D17" s="35">
        <f t="shared" ref="D17:M17" si="3">SUM(D4:D16)</f>
        <v>18186</v>
      </c>
      <c r="E17" s="35">
        <f t="shared" si="3"/>
        <v>0</v>
      </c>
      <c r="F17" s="35">
        <f t="shared" si="3"/>
        <v>3226407</v>
      </c>
      <c r="G17" s="35">
        <f t="shared" si="3"/>
        <v>3422052</v>
      </c>
      <c r="H17" s="35">
        <f t="shared" si="3"/>
        <v>0</v>
      </c>
      <c r="I17" s="35">
        <f t="shared" si="3"/>
        <v>6648459</v>
      </c>
      <c r="J17" s="35">
        <f t="shared" si="3"/>
        <v>0</v>
      </c>
      <c r="K17" s="35">
        <f t="shared" si="3"/>
        <v>5983137</v>
      </c>
      <c r="L17" s="35">
        <f t="shared" si="3"/>
        <v>877.14725599999997</v>
      </c>
      <c r="M17" s="35">
        <f t="shared" si="3"/>
        <v>58396.533242187499</v>
      </c>
      <c r="N17" s="10">
        <f>M17/365</f>
        <v>159.99050203339041</v>
      </c>
      <c r="O17" s="9">
        <f>SUM(O4:O16)</f>
        <v>183017.58772460942</v>
      </c>
      <c r="P17" s="9">
        <f>SUM(P4:P16)</f>
        <v>56068.109443359375</v>
      </c>
      <c r="Q17" s="9">
        <f>SUM(Q4:Q16)</f>
        <v>924.67031299999985</v>
      </c>
      <c r="R17" s="9">
        <f>SUM(R4:R16)</f>
        <v>7442.8875509999998</v>
      </c>
      <c r="S17" s="9">
        <f>SUM(S4:S16)</f>
        <v>216944.88827386621</v>
      </c>
      <c r="T17" s="112">
        <f t="shared" si="2"/>
        <v>594.36955691470189</v>
      </c>
      <c r="U17" s="10">
        <f>SUM(U4:U16)</f>
        <v>118907.74235351561</v>
      </c>
      <c r="V17" s="10">
        <f>SUM(V4:V16)</f>
        <v>4316117274</v>
      </c>
      <c r="W17"/>
      <c r="X17"/>
      <c r="Y17"/>
      <c r="Z17" s="226" t="s">
        <v>152</v>
      </c>
      <c r="AA17" s="229" t="s">
        <v>230</v>
      </c>
      <c r="AB17"/>
      <c r="AC17"/>
    </row>
    <row r="18" spans="1:29" s="3" customFormat="1" ht="20" thickBot="1" x14ac:dyDescent="0.2">
      <c r="A18" s="182"/>
      <c r="B18" s="182"/>
      <c r="C18" s="185" t="s">
        <v>103</v>
      </c>
      <c r="D18" s="185" t="s">
        <v>104</v>
      </c>
      <c r="E18" s="185" t="s">
        <v>105</v>
      </c>
      <c r="F18" s="185"/>
      <c r="G18" s="185" t="s">
        <v>106</v>
      </c>
      <c r="H18" s="185"/>
      <c r="I18" s="259"/>
      <c r="J18" s="187" t="s">
        <v>105</v>
      </c>
      <c r="K18" s="187" t="s">
        <v>105</v>
      </c>
      <c r="L18" s="186" t="s">
        <v>107</v>
      </c>
      <c r="M18" s="186" t="s">
        <v>108</v>
      </c>
      <c r="N18" s="185"/>
      <c r="O18" s="185" t="s">
        <v>109</v>
      </c>
      <c r="P18" s="186" t="s">
        <v>108</v>
      </c>
      <c r="Q18" s="186" t="s">
        <v>108</v>
      </c>
      <c r="R18" s="185"/>
      <c r="S18" s="185"/>
      <c r="T18" s="185"/>
      <c r="U18"/>
      <c r="V18"/>
      <c r="W18"/>
      <c r="X18"/>
      <c r="Y18"/>
      <c r="Z18" s="226" t="s">
        <v>153</v>
      </c>
      <c r="AA18" s="229" t="s">
        <v>231</v>
      </c>
      <c r="AB18"/>
    </row>
    <row r="19" spans="1:29" s="3" customFormat="1" ht="39" thickBot="1" x14ac:dyDescent="0.2">
      <c r="A19"/>
      <c r="B19"/>
      <c r="I19" s="185"/>
      <c r="N19" s="3" t="s">
        <v>74</v>
      </c>
      <c r="U19" s="185"/>
      <c r="W19" s="185"/>
      <c r="X19"/>
      <c r="Z19" s="226" t="s">
        <v>154</v>
      </c>
      <c r="AA19" s="230" t="s">
        <v>232</v>
      </c>
      <c r="AB19"/>
    </row>
    <row r="20" spans="1:29" ht="39" thickBot="1" x14ac:dyDescent="0.2">
      <c r="C20" s="36" t="s">
        <v>66</v>
      </c>
      <c r="I20" s="3"/>
      <c r="J20" s="3"/>
      <c r="K20" s="3"/>
      <c r="M20" s="3"/>
      <c r="N20" s="3"/>
      <c r="O20" s="3"/>
      <c r="U20" s="3"/>
      <c r="W20" s="3"/>
      <c r="Z20" s="226" t="s">
        <v>155</v>
      </c>
      <c r="AA20" s="230" t="s">
        <v>233</v>
      </c>
    </row>
    <row r="21" spans="1:29" ht="20" thickBot="1" x14ac:dyDescent="0.2">
      <c r="C21" t="s">
        <v>47</v>
      </c>
      <c r="D21" s="22" t="s">
        <v>3</v>
      </c>
      <c r="E21" s="22" t="s">
        <v>4</v>
      </c>
      <c r="F21" s="22" t="s">
        <v>5</v>
      </c>
      <c r="G21" s="250" t="s">
        <v>161</v>
      </c>
      <c r="H21" s="22" t="s">
        <v>6</v>
      </c>
      <c r="I21" s="46" t="s">
        <v>7</v>
      </c>
      <c r="J21" s="24" t="s">
        <v>14</v>
      </c>
      <c r="K21" s="24" t="s">
        <v>114</v>
      </c>
      <c r="L21" s="24" t="s">
        <v>8</v>
      </c>
      <c r="M21" s="24" t="s">
        <v>17</v>
      </c>
      <c r="N21" s="24" t="s">
        <v>9</v>
      </c>
      <c r="O21" s="24" t="s">
        <v>12</v>
      </c>
      <c r="P21" s="24" t="s">
        <v>10</v>
      </c>
      <c r="Q21" s="25" t="s">
        <v>11</v>
      </c>
      <c r="S21" s="47"/>
      <c r="T21" s="47"/>
      <c r="U21" s="47"/>
      <c r="W21" s="47"/>
      <c r="Y21" s="47"/>
      <c r="Z21" s="226" t="s">
        <v>156</v>
      </c>
      <c r="AA21" s="227" t="s">
        <v>234</v>
      </c>
    </row>
    <row r="22" spans="1:29" ht="14" x14ac:dyDescent="0.15">
      <c r="C22" s="29" t="s">
        <v>59</v>
      </c>
      <c r="D22" s="175">
        <f t="shared" ref="D22:P22" si="4">D43/1000000</f>
        <v>0</v>
      </c>
      <c r="E22" s="175">
        <f t="shared" si="4"/>
        <v>0</v>
      </c>
      <c r="F22" s="175">
        <f t="shared" si="4"/>
        <v>0</v>
      </c>
      <c r="G22" s="175">
        <f t="shared" si="4"/>
        <v>0</v>
      </c>
      <c r="H22" s="175">
        <f t="shared" si="4"/>
        <v>22.917339999999999</v>
      </c>
      <c r="I22" s="175">
        <f t="shared" si="4"/>
        <v>0</v>
      </c>
      <c r="J22" s="175">
        <f t="shared" si="4"/>
        <v>0.148617</v>
      </c>
      <c r="K22" s="175">
        <f t="shared" si="4"/>
        <v>33.570419000000001</v>
      </c>
      <c r="L22" s="175">
        <f t="shared" si="4"/>
        <v>0.64234100000000005</v>
      </c>
      <c r="M22" s="175">
        <f t="shared" si="4"/>
        <v>0</v>
      </c>
      <c r="N22" s="175">
        <f t="shared" si="4"/>
        <v>0</v>
      </c>
      <c r="O22" s="175">
        <f t="shared" si="4"/>
        <v>0</v>
      </c>
      <c r="P22" s="175">
        <f t="shared" si="4"/>
        <v>0</v>
      </c>
      <c r="Q22" s="175">
        <f t="shared" ref="Q22:Q40" si="5">SUM(D22:P22)</f>
        <v>57.278717</v>
      </c>
      <c r="V22" s="47"/>
      <c r="X22" s="47"/>
      <c r="Z22" s="94" t="s">
        <v>86</v>
      </c>
    </row>
    <row r="23" spans="1:29" ht="14" x14ac:dyDescent="0.15">
      <c r="C23" s="29" t="s">
        <v>37</v>
      </c>
      <c r="D23" s="175">
        <f t="shared" ref="D23:P23" si="6">D44/1000000</f>
        <v>3.5718839999999998</v>
      </c>
      <c r="E23" s="175">
        <f t="shared" si="6"/>
        <v>0.30386999999999997</v>
      </c>
      <c r="F23" s="175">
        <f t="shared" si="6"/>
        <v>0</v>
      </c>
      <c r="G23" s="175">
        <f t="shared" si="6"/>
        <v>0</v>
      </c>
      <c r="H23" s="175">
        <f t="shared" si="6"/>
        <v>38.747579999999999</v>
      </c>
      <c r="I23" s="175">
        <f t="shared" si="6"/>
        <v>10.177527</v>
      </c>
      <c r="J23" s="175">
        <f t="shared" si="6"/>
        <v>16.757476</v>
      </c>
      <c r="K23" s="175">
        <f t="shared" si="6"/>
        <v>47.736139999999999</v>
      </c>
      <c r="L23" s="175">
        <f t="shared" si="6"/>
        <v>10.732725</v>
      </c>
      <c r="M23" s="175">
        <f t="shared" si="6"/>
        <v>10.672893999999999</v>
      </c>
      <c r="N23" s="175">
        <f t="shared" si="6"/>
        <v>0.39932299999999998</v>
      </c>
      <c r="O23" s="175">
        <f t="shared" si="6"/>
        <v>16.487646000000002</v>
      </c>
      <c r="P23" s="175">
        <f t="shared" si="6"/>
        <v>7.4131000000000002E-2</v>
      </c>
      <c r="Q23" s="175">
        <f t="shared" si="5"/>
        <v>155.66119599999999</v>
      </c>
    </row>
    <row r="24" spans="1:29" ht="14" x14ac:dyDescent="0.15">
      <c r="C24" s="29" t="s">
        <v>38</v>
      </c>
      <c r="D24" s="175">
        <f t="shared" ref="D24:P24" si="7">D45/1000000</f>
        <v>5.1073000000000004</v>
      </c>
      <c r="E24" s="175">
        <f t="shared" si="7"/>
        <v>0.47285700000000003</v>
      </c>
      <c r="F24" s="175">
        <f t="shared" si="7"/>
        <v>37.058059999999998</v>
      </c>
      <c r="G24" s="175">
        <f t="shared" si="7"/>
        <v>0</v>
      </c>
      <c r="H24" s="175">
        <f t="shared" si="7"/>
        <v>54.500664</v>
      </c>
      <c r="I24" s="175">
        <f t="shared" si="7"/>
        <v>5.6774750000000003</v>
      </c>
      <c r="J24" s="175">
        <f t="shared" si="7"/>
        <v>38.827043000000003</v>
      </c>
      <c r="K24" s="175">
        <f t="shared" si="7"/>
        <v>47.205446000000002</v>
      </c>
      <c r="L24" s="175">
        <f t="shared" si="7"/>
        <v>17.247733</v>
      </c>
      <c r="M24" s="175">
        <f t="shared" si="7"/>
        <v>8.655132</v>
      </c>
      <c r="N24" s="175">
        <f t="shared" si="7"/>
        <v>7.6994199999999999</v>
      </c>
      <c r="O24" s="175">
        <f t="shared" si="7"/>
        <v>31.722079000000001</v>
      </c>
      <c r="P24" s="175">
        <f t="shared" si="7"/>
        <v>0.49062</v>
      </c>
      <c r="Q24" s="175">
        <f t="shared" si="5"/>
        <v>254.66382900000002</v>
      </c>
    </row>
    <row r="25" spans="1:29" ht="14" x14ac:dyDescent="0.15">
      <c r="C25" s="29" t="s">
        <v>39</v>
      </c>
      <c r="D25" s="175">
        <f t="shared" ref="D25:P25" si="8">D46/1000000</f>
        <v>4.4062020000000004</v>
      </c>
      <c r="E25" s="175">
        <f t="shared" si="8"/>
        <v>0.101671</v>
      </c>
      <c r="F25" s="175">
        <f t="shared" si="8"/>
        <v>52.599871</v>
      </c>
      <c r="G25" s="175">
        <f t="shared" si="8"/>
        <v>0</v>
      </c>
      <c r="H25" s="175">
        <f t="shared" si="8"/>
        <v>84.223157999999998</v>
      </c>
      <c r="I25" s="175">
        <f t="shared" si="8"/>
        <v>0.65940500000000002</v>
      </c>
      <c r="J25" s="175">
        <f t="shared" si="8"/>
        <v>51.945273</v>
      </c>
      <c r="K25" s="175">
        <f t="shared" si="8"/>
        <v>79.756398000000004</v>
      </c>
      <c r="L25" s="175">
        <f t="shared" si="8"/>
        <v>22.897912999999999</v>
      </c>
      <c r="M25" s="175">
        <f t="shared" si="8"/>
        <v>12.42596</v>
      </c>
      <c r="N25" s="175">
        <f t="shared" si="8"/>
        <v>49.882874999999999</v>
      </c>
      <c r="O25" s="175">
        <f t="shared" si="8"/>
        <v>50.334622000000003</v>
      </c>
      <c r="P25" s="175">
        <f t="shared" si="8"/>
        <v>3.5663849999999999</v>
      </c>
      <c r="Q25" s="175">
        <f t="shared" si="5"/>
        <v>412.799733</v>
      </c>
    </row>
    <row r="26" spans="1:29" ht="14" x14ac:dyDescent="0.15">
      <c r="C26" s="29" t="s">
        <v>40</v>
      </c>
      <c r="D26" s="175">
        <f t="shared" ref="D26:P26" si="9">D47/1000000</f>
        <v>5.042249</v>
      </c>
      <c r="E26" s="175">
        <f t="shared" si="9"/>
        <v>0.36860900000000002</v>
      </c>
      <c r="F26" s="175">
        <f t="shared" si="9"/>
        <v>112.330657</v>
      </c>
      <c r="G26" s="175">
        <f t="shared" si="9"/>
        <v>0</v>
      </c>
      <c r="H26" s="175">
        <f t="shared" si="9"/>
        <v>133.841386</v>
      </c>
      <c r="I26" s="175">
        <f t="shared" si="9"/>
        <v>0.72013300000000002</v>
      </c>
      <c r="J26" s="175">
        <f t="shared" si="9"/>
        <v>63.965963000000002</v>
      </c>
      <c r="K26" s="175">
        <f t="shared" si="9"/>
        <v>98.766036999999997</v>
      </c>
      <c r="L26" s="175">
        <f t="shared" si="9"/>
        <v>20.180631999999999</v>
      </c>
      <c r="M26" s="175">
        <f t="shared" si="9"/>
        <v>20.538207</v>
      </c>
      <c r="N26" s="175">
        <f t="shared" si="9"/>
        <v>3.194725</v>
      </c>
      <c r="O26" s="175">
        <f t="shared" si="9"/>
        <v>38.272939999999998</v>
      </c>
      <c r="P26" s="175">
        <f t="shared" si="9"/>
        <v>4.1586509999999999</v>
      </c>
      <c r="Q26" s="175">
        <f t="shared" si="5"/>
        <v>501.38018900000003</v>
      </c>
    </row>
    <row r="27" spans="1:29" ht="14" x14ac:dyDescent="0.15">
      <c r="C27" s="29" t="s">
        <v>41</v>
      </c>
      <c r="D27" s="175">
        <f t="shared" ref="D27:P27" si="10">D48/1000000</f>
        <v>10.626249</v>
      </c>
      <c r="E27" s="175">
        <f t="shared" si="10"/>
        <v>0.846248</v>
      </c>
      <c r="F27" s="175">
        <f t="shared" si="10"/>
        <v>120.025964</v>
      </c>
      <c r="G27" s="175">
        <f t="shared" si="10"/>
        <v>0</v>
      </c>
      <c r="H27" s="175">
        <f t="shared" si="10"/>
        <v>168.67674700000001</v>
      </c>
      <c r="I27" s="175">
        <f t="shared" si="10"/>
        <v>0.79108500000000004</v>
      </c>
      <c r="J27" s="175">
        <f t="shared" si="10"/>
        <v>70.588599000000002</v>
      </c>
      <c r="K27" s="175">
        <f t="shared" si="10"/>
        <v>95.246110000000002</v>
      </c>
      <c r="L27" s="175">
        <f t="shared" si="10"/>
        <v>24.339347</v>
      </c>
      <c r="M27" s="175">
        <f t="shared" si="10"/>
        <v>16.768246000000001</v>
      </c>
      <c r="N27" s="175">
        <f t="shared" si="10"/>
        <v>6.7061929999999998</v>
      </c>
      <c r="O27" s="175">
        <f t="shared" si="10"/>
        <v>54.068233999999997</v>
      </c>
      <c r="P27" s="175">
        <f t="shared" si="10"/>
        <v>1.5993269999999999</v>
      </c>
      <c r="Q27" s="175">
        <f t="shared" si="5"/>
        <v>570.28234899999995</v>
      </c>
    </row>
    <row r="28" spans="1:29" ht="14" x14ac:dyDescent="0.15">
      <c r="C28" s="29" t="s">
        <v>42</v>
      </c>
      <c r="D28" s="175">
        <f t="shared" ref="D28:P28" si="11">D49/1000000</f>
        <v>10.212370999999999</v>
      </c>
      <c r="E28" s="175">
        <f t="shared" si="11"/>
        <v>0.67360799999999998</v>
      </c>
      <c r="F28" s="175">
        <f t="shared" si="11"/>
        <v>120.930572</v>
      </c>
      <c r="G28" s="175">
        <f t="shared" si="11"/>
        <v>0</v>
      </c>
      <c r="H28" s="175">
        <f t="shared" si="11"/>
        <v>209.906859</v>
      </c>
      <c r="I28" s="175">
        <f t="shared" si="11"/>
        <v>4.4349480000000003</v>
      </c>
      <c r="J28" s="175">
        <f t="shared" si="11"/>
        <v>111.743424</v>
      </c>
      <c r="K28" s="175">
        <f t="shared" si="11"/>
        <v>135.28649799999999</v>
      </c>
      <c r="L28" s="175">
        <f t="shared" si="11"/>
        <v>38.223084999999998</v>
      </c>
      <c r="M28" s="175">
        <f t="shared" si="11"/>
        <v>18.293759999999999</v>
      </c>
      <c r="N28" s="175">
        <f t="shared" si="11"/>
        <v>5.756697</v>
      </c>
      <c r="O28" s="175">
        <f t="shared" si="11"/>
        <v>89.251096000000004</v>
      </c>
      <c r="P28" s="175">
        <f t="shared" si="11"/>
        <v>4.6872220000000002</v>
      </c>
      <c r="Q28" s="175">
        <f t="shared" si="5"/>
        <v>749.40014000000008</v>
      </c>
    </row>
    <row r="29" spans="1:29" ht="14" x14ac:dyDescent="0.15">
      <c r="C29" s="29" t="s">
        <v>43</v>
      </c>
      <c r="D29" s="175">
        <f t="shared" ref="D29:P29" si="12">D50/1000000</f>
        <v>15.472293000000001</v>
      </c>
      <c r="E29" s="175">
        <f t="shared" si="12"/>
        <v>1.1101460000000001</v>
      </c>
      <c r="F29" s="175">
        <f t="shared" si="12"/>
        <v>144.29374799999999</v>
      </c>
      <c r="G29" s="175">
        <f t="shared" si="12"/>
        <v>0</v>
      </c>
      <c r="H29" s="175">
        <f t="shared" si="12"/>
        <v>283.25595800000002</v>
      </c>
      <c r="I29" s="175">
        <f t="shared" si="12"/>
        <v>4.4983519999999997</v>
      </c>
      <c r="J29" s="175">
        <f t="shared" si="12"/>
        <v>127.080485</v>
      </c>
      <c r="K29" s="175">
        <f t="shared" si="12"/>
        <v>196.13767899999999</v>
      </c>
      <c r="L29" s="175">
        <f t="shared" si="12"/>
        <v>67.730322000000001</v>
      </c>
      <c r="M29" s="175">
        <f t="shared" si="12"/>
        <v>27.464272000000001</v>
      </c>
      <c r="N29" s="175">
        <f t="shared" si="12"/>
        <v>13.607626</v>
      </c>
      <c r="O29" s="175">
        <f t="shared" si="12"/>
        <v>71.263045000000005</v>
      </c>
      <c r="P29" s="175">
        <f t="shared" si="12"/>
        <v>6.3922129999999999</v>
      </c>
      <c r="Q29" s="175">
        <f t="shared" si="5"/>
        <v>958.30613900000003</v>
      </c>
    </row>
    <row r="30" spans="1:29" ht="14" x14ac:dyDescent="0.15">
      <c r="C30" s="29" t="s">
        <v>45</v>
      </c>
      <c r="D30" s="175">
        <f t="shared" ref="D30:P30" si="13">D51/1000000</f>
        <v>15.943277</v>
      </c>
      <c r="E30" s="175">
        <f t="shared" si="13"/>
        <v>2.0008599999999999</v>
      </c>
      <c r="F30" s="175">
        <f t="shared" si="13"/>
        <v>172.03639100000001</v>
      </c>
      <c r="G30" s="175">
        <f t="shared" si="13"/>
        <v>0</v>
      </c>
      <c r="H30" s="175">
        <f t="shared" si="13"/>
        <v>405.060654</v>
      </c>
      <c r="I30" s="175">
        <f t="shared" si="13"/>
        <v>6.3843249999999996</v>
      </c>
      <c r="J30" s="175">
        <f t="shared" si="13"/>
        <v>163.27644599999999</v>
      </c>
      <c r="K30" s="175">
        <f t="shared" si="13"/>
        <v>360.64454699999999</v>
      </c>
      <c r="L30" s="175">
        <f t="shared" si="13"/>
        <v>70.647366000000005</v>
      </c>
      <c r="M30" s="175">
        <f t="shared" si="13"/>
        <v>56.956518000000003</v>
      </c>
      <c r="N30" s="175">
        <f t="shared" si="13"/>
        <v>13.084823</v>
      </c>
      <c r="O30" s="175">
        <f t="shared" si="13"/>
        <v>77.176446999999996</v>
      </c>
      <c r="P30" s="175">
        <f t="shared" si="13"/>
        <v>7.6517379999999999</v>
      </c>
      <c r="Q30" s="175">
        <f t="shared" si="5"/>
        <v>1350.863392</v>
      </c>
    </row>
    <row r="31" spans="1:29" ht="14" x14ac:dyDescent="0.15">
      <c r="C31" s="29" t="s">
        <v>72</v>
      </c>
      <c r="D31" s="175">
        <f t="shared" ref="D31:P31" si="14">D52/1000000</f>
        <v>18.483861999999998</v>
      </c>
      <c r="E31" s="175">
        <f t="shared" si="14"/>
        <v>5.1804249999999996</v>
      </c>
      <c r="F31" s="175">
        <f t="shared" si="14"/>
        <v>316.508622</v>
      </c>
      <c r="G31" s="175">
        <f t="shared" si="14"/>
        <v>0</v>
      </c>
      <c r="H31" s="175">
        <f t="shared" si="14"/>
        <v>409.16399200000001</v>
      </c>
      <c r="I31" s="175">
        <f t="shared" si="14"/>
        <v>3.9329890000000001</v>
      </c>
      <c r="J31" s="175">
        <f t="shared" si="14"/>
        <v>174.59097600000001</v>
      </c>
      <c r="K31" s="175">
        <f t="shared" si="14"/>
        <v>230.71311800000001</v>
      </c>
      <c r="L31" s="175">
        <f t="shared" si="14"/>
        <v>82.185432000000006</v>
      </c>
      <c r="M31" s="175">
        <f t="shared" si="14"/>
        <v>65.432243</v>
      </c>
      <c r="N31" s="175">
        <f t="shared" si="14"/>
        <v>31.550469</v>
      </c>
      <c r="O31" s="175">
        <f t="shared" si="14"/>
        <v>93.017982000000003</v>
      </c>
      <c r="P31" s="175">
        <f t="shared" si="14"/>
        <v>5.7873919999999996</v>
      </c>
      <c r="Q31" s="175">
        <f t="shared" si="5"/>
        <v>1436.5475020000001</v>
      </c>
    </row>
    <row r="32" spans="1:29" ht="14" x14ac:dyDescent="0.15">
      <c r="C32" s="29" t="s">
        <v>84</v>
      </c>
      <c r="D32" s="175">
        <f t="shared" ref="D32:P32" si="15">D53/1000000</f>
        <v>31.037472000000001</v>
      </c>
      <c r="E32" s="175">
        <f t="shared" si="15"/>
        <v>6.6679250000000003</v>
      </c>
      <c r="F32" s="175">
        <f t="shared" si="15"/>
        <v>384.034918</v>
      </c>
      <c r="G32" s="175">
        <f t="shared" si="15"/>
        <v>0</v>
      </c>
      <c r="H32" s="175">
        <f t="shared" si="15"/>
        <v>257.50330300000002</v>
      </c>
      <c r="I32" s="175">
        <f t="shared" si="15"/>
        <v>6.8701800000000004</v>
      </c>
      <c r="J32" s="175">
        <f t="shared" si="15"/>
        <v>208.186137</v>
      </c>
      <c r="K32" s="175">
        <f t="shared" si="15"/>
        <v>107.761906</v>
      </c>
      <c r="L32" s="175">
        <f t="shared" si="15"/>
        <v>102.272879</v>
      </c>
      <c r="M32" s="175">
        <f t="shared" si="15"/>
        <v>47.917738</v>
      </c>
      <c r="N32" s="175">
        <f t="shared" si="15"/>
        <v>26.890238</v>
      </c>
      <c r="O32" s="175">
        <f t="shared" si="15"/>
        <v>87.788122999999999</v>
      </c>
      <c r="P32" s="175">
        <f t="shared" si="15"/>
        <v>3.5554549999999998</v>
      </c>
      <c r="Q32" s="175">
        <f t="shared" si="5"/>
        <v>1270.4862740000001</v>
      </c>
    </row>
    <row r="33" spans="3:23" ht="14" x14ac:dyDescent="0.15">
      <c r="C33" s="29" t="s">
        <v>91</v>
      </c>
      <c r="D33" s="175">
        <f t="shared" ref="D33:P33" si="16">D54/1000000</f>
        <v>26.575334999999999</v>
      </c>
      <c r="E33" s="175">
        <f t="shared" si="16"/>
        <v>11.235903</v>
      </c>
      <c r="F33" s="175">
        <f t="shared" si="16"/>
        <v>348.31492200000002</v>
      </c>
      <c r="G33" s="175">
        <f t="shared" si="16"/>
        <v>0</v>
      </c>
      <c r="H33" s="175">
        <f t="shared" si="16"/>
        <v>297.73108400000001</v>
      </c>
      <c r="I33" s="175">
        <f t="shared" si="16"/>
        <v>7.1144410000000002</v>
      </c>
      <c r="J33" s="175">
        <f t="shared" si="16"/>
        <v>249.38378800000001</v>
      </c>
      <c r="K33" s="175">
        <f t="shared" si="16"/>
        <v>239.952279</v>
      </c>
      <c r="L33" s="175">
        <f t="shared" si="16"/>
        <v>157.13142500000001</v>
      </c>
      <c r="M33" s="175">
        <f t="shared" si="16"/>
        <v>55.382038000000001</v>
      </c>
      <c r="N33" s="175">
        <f t="shared" si="16"/>
        <v>34.901304000000003</v>
      </c>
      <c r="O33" s="175">
        <f t="shared" si="16"/>
        <v>48.444204999999997</v>
      </c>
      <c r="P33" s="175">
        <f t="shared" si="16"/>
        <v>0.89733200000000002</v>
      </c>
      <c r="Q33" s="175">
        <f t="shared" si="5"/>
        <v>1477.0640560000002</v>
      </c>
    </row>
    <row r="34" spans="3:23" ht="14" x14ac:dyDescent="0.15">
      <c r="C34" s="29" t="s">
        <v>115</v>
      </c>
      <c r="D34" s="175">
        <f t="shared" ref="D34:P34" si="17">D55/1000000</f>
        <v>36.577519000000002</v>
      </c>
      <c r="E34" s="175">
        <f t="shared" si="17"/>
        <v>31.991156</v>
      </c>
      <c r="F34" s="175">
        <f t="shared" si="17"/>
        <v>390.72035199999999</v>
      </c>
      <c r="G34" s="175">
        <f t="shared" si="17"/>
        <v>0</v>
      </c>
      <c r="H34" s="175">
        <f t="shared" si="17"/>
        <v>408.14651099999998</v>
      </c>
      <c r="I34" s="175">
        <f t="shared" si="17"/>
        <v>76.927700999999999</v>
      </c>
      <c r="J34" s="175">
        <f t="shared" si="17"/>
        <v>276.07118400000002</v>
      </c>
      <c r="K34" s="175">
        <f t="shared" si="17"/>
        <v>371.42471999999998</v>
      </c>
      <c r="L34" s="175">
        <f t="shared" si="17"/>
        <v>68.86139</v>
      </c>
      <c r="M34" s="175">
        <f t="shared" si="17"/>
        <v>38.363185000000001</v>
      </c>
      <c r="N34" s="175">
        <f t="shared" si="17"/>
        <v>52.227103999999997</v>
      </c>
      <c r="O34" s="175">
        <f t="shared" si="17"/>
        <v>68.885910999999993</v>
      </c>
      <c r="P34" s="175">
        <f t="shared" si="17"/>
        <v>1.3879220000000001</v>
      </c>
      <c r="Q34" s="175">
        <f t="shared" si="5"/>
        <v>1821.5846549999999</v>
      </c>
    </row>
    <row r="35" spans="3:23" ht="14" x14ac:dyDescent="0.15">
      <c r="C35" s="75" t="s">
        <v>143</v>
      </c>
      <c r="D35" s="175">
        <f t="shared" ref="D35:P35" si="18">D56/1000000</f>
        <v>22.938811000000001</v>
      </c>
      <c r="E35" s="175">
        <f t="shared" si="18"/>
        <v>39.777545000000003</v>
      </c>
      <c r="F35" s="175">
        <f t="shared" si="18"/>
        <v>373.78777500000001</v>
      </c>
      <c r="G35" s="175">
        <f t="shared" si="18"/>
        <v>0</v>
      </c>
      <c r="H35" s="175">
        <f t="shared" si="18"/>
        <v>428.93781000000001</v>
      </c>
      <c r="I35" s="175">
        <f t="shared" si="18"/>
        <v>8.3393150000000009</v>
      </c>
      <c r="J35" s="175">
        <f t="shared" si="18"/>
        <v>233.80064299999998</v>
      </c>
      <c r="K35" s="175">
        <f t="shared" si="18"/>
        <v>455.37547700000005</v>
      </c>
      <c r="L35" s="175">
        <f t="shared" si="18"/>
        <v>81.46244999999999</v>
      </c>
      <c r="M35" s="175">
        <f t="shared" si="18"/>
        <v>56.457978999999995</v>
      </c>
      <c r="N35" s="175">
        <f t="shared" si="18"/>
        <v>31.767076999999997</v>
      </c>
      <c r="O35" s="175">
        <f t="shared" si="18"/>
        <v>59.36428999999999</v>
      </c>
      <c r="P35" s="175">
        <f t="shared" si="18"/>
        <v>1.322913</v>
      </c>
      <c r="Q35" s="175">
        <f t="shared" si="5"/>
        <v>1793.332085</v>
      </c>
    </row>
    <row r="36" spans="3:23" ht="14" x14ac:dyDescent="0.15">
      <c r="C36" s="75" t="s">
        <v>147</v>
      </c>
      <c r="D36" s="175">
        <f t="shared" ref="D36:G36" si="19">D57/1000000</f>
        <v>24.043609</v>
      </c>
      <c r="E36" s="175">
        <f t="shared" si="19"/>
        <v>34.563133000000001</v>
      </c>
      <c r="F36" s="175">
        <f t="shared" si="19"/>
        <v>247.00965500000001</v>
      </c>
      <c r="G36" s="175">
        <f t="shared" si="19"/>
        <v>0</v>
      </c>
      <c r="H36" s="175">
        <f t="shared" ref="H36:P36" si="20">H57/1000000</f>
        <v>479.78938099999999</v>
      </c>
      <c r="I36" s="175">
        <f t="shared" si="20"/>
        <v>13.966144</v>
      </c>
      <c r="J36" s="175">
        <f t="shared" si="20"/>
        <v>252.374606</v>
      </c>
      <c r="K36" s="175">
        <f t="shared" si="20"/>
        <v>536.58246099999997</v>
      </c>
      <c r="L36" s="175">
        <f t="shared" si="20"/>
        <v>64.506292000000002</v>
      </c>
      <c r="M36" s="175">
        <f t="shared" si="20"/>
        <v>50.985855000000001</v>
      </c>
      <c r="N36" s="175">
        <f t="shared" si="20"/>
        <v>68.714117999999999</v>
      </c>
      <c r="O36" s="175">
        <f t="shared" si="20"/>
        <v>8.4941469999999999</v>
      </c>
      <c r="P36" s="175">
        <f t="shared" si="20"/>
        <v>1.268106</v>
      </c>
      <c r="Q36" s="175">
        <f t="shared" si="5"/>
        <v>1782.2975070000002</v>
      </c>
    </row>
    <row r="37" spans="3:23" ht="14" x14ac:dyDescent="0.15">
      <c r="C37" s="75" t="s">
        <v>159</v>
      </c>
      <c r="D37" s="175">
        <f t="shared" ref="D37:G37" si="21">D58/1000000</f>
        <v>24.136044999999999</v>
      </c>
      <c r="E37" s="175">
        <f t="shared" si="21"/>
        <v>51.888854000000002</v>
      </c>
      <c r="F37" s="175">
        <f t="shared" si="21"/>
        <v>265.18032399999998</v>
      </c>
      <c r="G37" s="175">
        <f t="shared" si="21"/>
        <v>0</v>
      </c>
      <c r="H37" s="175">
        <f t="shared" ref="H37:P37" si="22">H58/1000000</f>
        <v>539.96653300000003</v>
      </c>
      <c r="I37" s="175">
        <f t="shared" si="22"/>
        <v>10.362462000000001</v>
      </c>
      <c r="J37" s="175">
        <f t="shared" si="22"/>
        <v>512.76510099999996</v>
      </c>
      <c r="K37" s="175">
        <f t="shared" si="22"/>
        <v>677.69295699999998</v>
      </c>
      <c r="L37" s="175">
        <f t="shared" si="22"/>
        <v>87.339473999999996</v>
      </c>
      <c r="M37" s="175">
        <f t="shared" si="22"/>
        <v>70.861675000000005</v>
      </c>
      <c r="N37" s="175">
        <f t="shared" si="22"/>
        <v>102.537036</v>
      </c>
      <c r="O37" s="175">
        <f t="shared" si="22"/>
        <v>510.76768600000003</v>
      </c>
      <c r="P37" s="175">
        <f t="shared" si="22"/>
        <v>1.049212</v>
      </c>
      <c r="Q37" s="175">
        <f t="shared" si="5"/>
        <v>2854.5473590000001</v>
      </c>
      <c r="S37" s="35"/>
      <c r="T37" s="35"/>
      <c r="U37" s="35"/>
      <c r="W37" s="35"/>
    </row>
    <row r="38" spans="3:23" ht="14" x14ac:dyDescent="0.15">
      <c r="C38" s="75" t="s">
        <v>162</v>
      </c>
      <c r="D38" s="175">
        <v>27.930698</v>
      </c>
      <c r="E38" s="175">
        <v>48.061692999999998</v>
      </c>
      <c r="F38" s="175">
        <v>265.96448500000002</v>
      </c>
      <c r="G38" s="175">
        <v>1.0814000000000001E-2</v>
      </c>
      <c r="H38" s="175">
        <v>553.56933500000002</v>
      </c>
      <c r="I38" s="175">
        <v>4.4294929999999999</v>
      </c>
      <c r="J38" s="175">
        <v>613.62384999999995</v>
      </c>
      <c r="K38" s="175">
        <v>401.48317900000001</v>
      </c>
      <c r="L38" s="175">
        <v>130.018663</v>
      </c>
      <c r="M38" s="175">
        <v>69.771438000000003</v>
      </c>
      <c r="N38" s="175">
        <v>73.071164999999993</v>
      </c>
      <c r="O38" s="175">
        <v>282.31865800000003</v>
      </c>
      <c r="P38" s="175">
        <v>1.039612</v>
      </c>
      <c r="Q38" s="175">
        <v>2471.2930830000005</v>
      </c>
      <c r="S38" s="35"/>
      <c r="T38" s="35"/>
      <c r="U38" s="35"/>
      <c r="W38" s="35"/>
    </row>
    <row r="39" spans="3:23" ht="14" x14ac:dyDescent="0.15">
      <c r="C39" s="75" t="s">
        <v>167</v>
      </c>
      <c r="D39" s="175">
        <v>46.231842999999998</v>
      </c>
      <c r="E39" s="175">
        <v>69.781617999999995</v>
      </c>
      <c r="F39" s="175">
        <v>1149.6430499999999</v>
      </c>
      <c r="G39" s="175">
        <v>8.7867000000000001E-2</v>
      </c>
      <c r="H39" s="175">
        <v>665.35047099999997</v>
      </c>
      <c r="I39" s="175">
        <v>5.0195080000000001</v>
      </c>
      <c r="J39" s="175">
        <v>1660.080285</v>
      </c>
      <c r="K39" s="175">
        <v>491.25263100000001</v>
      </c>
      <c r="L39" s="175">
        <v>156.046595</v>
      </c>
      <c r="M39" s="175">
        <v>66.930110999999997</v>
      </c>
      <c r="N39" s="175">
        <v>132.41475399999999</v>
      </c>
      <c r="O39" s="175">
        <v>39.181713999999999</v>
      </c>
      <c r="P39" s="175">
        <v>1.758284</v>
      </c>
      <c r="Q39" s="175">
        <v>4483.7787309999994</v>
      </c>
    </row>
    <row r="40" spans="3:23" ht="14" x14ac:dyDescent="0.15">
      <c r="C40" s="289" t="s">
        <v>209</v>
      </c>
      <c r="D40" s="288">
        <v>64.438758000000007</v>
      </c>
      <c r="E40" s="288">
        <v>220.06076999999999</v>
      </c>
      <c r="F40" s="288">
        <v>1192.952957</v>
      </c>
      <c r="G40" s="288">
        <v>0.15548500000000001</v>
      </c>
      <c r="H40" s="288">
        <v>777.52756899999997</v>
      </c>
      <c r="I40" s="288">
        <v>16.489101999999999</v>
      </c>
      <c r="J40" s="288">
        <v>3523.2388449999999</v>
      </c>
      <c r="K40" s="288">
        <v>898.25093600000002</v>
      </c>
      <c r="L40" s="288">
        <v>308.29813300000001</v>
      </c>
      <c r="M40" s="288">
        <v>83.849919999999997</v>
      </c>
      <c r="N40" s="288">
        <v>192.542092</v>
      </c>
      <c r="O40" s="288">
        <v>163.94438700000001</v>
      </c>
      <c r="P40" s="288">
        <v>1.294082</v>
      </c>
      <c r="Q40" s="288">
        <f t="shared" si="5"/>
        <v>7443.0430360000009</v>
      </c>
      <c r="V40" s="35"/>
    </row>
    <row r="41" spans="3:23" x14ac:dyDescent="0.15">
      <c r="C41" s="36" t="s">
        <v>65</v>
      </c>
      <c r="I41" s="3"/>
      <c r="J41" s="3"/>
      <c r="L41" s="3"/>
      <c r="M41" s="3"/>
      <c r="N41" s="3"/>
    </row>
    <row r="42" spans="3:23" x14ac:dyDescent="0.15">
      <c r="C42" t="s">
        <v>47</v>
      </c>
      <c r="D42" s="220" t="s">
        <v>3</v>
      </c>
      <c r="E42" s="220" t="s">
        <v>4</v>
      </c>
      <c r="F42" s="220" t="s">
        <v>5</v>
      </c>
      <c r="G42" s="221" t="s">
        <v>161</v>
      </c>
      <c r="H42" s="221" t="s">
        <v>6</v>
      </c>
      <c r="I42" s="221" t="s">
        <v>7</v>
      </c>
      <c r="J42" s="222" t="s">
        <v>14</v>
      </c>
      <c r="K42" s="222" t="s">
        <v>114</v>
      </c>
      <c r="L42" s="222" t="s">
        <v>8</v>
      </c>
      <c r="M42" s="223" t="s">
        <v>17</v>
      </c>
      <c r="N42" s="223" t="s">
        <v>9</v>
      </c>
      <c r="O42" s="223" t="s">
        <v>12</v>
      </c>
      <c r="P42" s="223" t="s">
        <v>10</v>
      </c>
      <c r="Q42" s="116" t="s">
        <v>11</v>
      </c>
    </row>
    <row r="43" spans="3:23" ht="14" x14ac:dyDescent="0.15">
      <c r="C43" s="75" t="s">
        <v>59</v>
      </c>
      <c r="D43" s="210"/>
      <c r="E43" s="210"/>
      <c r="F43" s="210"/>
      <c r="G43" s="210"/>
      <c r="H43" s="237">
        <v>22917340</v>
      </c>
      <c r="I43" s="210"/>
      <c r="J43" s="237">
        <v>148617</v>
      </c>
      <c r="K43" s="237">
        <v>33570419</v>
      </c>
      <c r="L43" s="237">
        <v>642341</v>
      </c>
      <c r="M43" s="210"/>
      <c r="N43" s="210"/>
      <c r="O43" s="210"/>
      <c r="P43" s="210"/>
      <c r="Q43" s="134">
        <f t="shared" ref="Q43:Q56" si="23">SUM(D43:P43)</f>
        <v>57278717</v>
      </c>
    </row>
    <row r="44" spans="3:23" ht="14" x14ac:dyDescent="0.15">
      <c r="C44" s="75" t="s">
        <v>37</v>
      </c>
      <c r="D44" s="210">
        <v>3571884</v>
      </c>
      <c r="E44" s="210">
        <v>303870</v>
      </c>
      <c r="F44" s="210"/>
      <c r="G44" s="210"/>
      <c r="H44" s="210">
        <v>38747580</v>
      </c>
      <c r="I44" s="210">
        <v>10177527</v>
      </c>
      <c r="J44" s="210">
        <v>16757476</v>
      </c>
      <c r="K44" s="210">
        <v>47736140</v>
      </c>
      <c r="L44" s="210">
        <v>10732725</v>
      </c>
      <c r="M44" s="210">
        <v>10672894</v>
      </c>
      <c r="N44" s="210">
        <v>399323</v>
      </c>
      <c r="O44" s="210">
        <v>16487646</v>
      </c>
      <c r="P44" s="210">
        <v>74131</v>
      </c>
      <c r="Q44" s="134">
        <f t="shared" si="23"/>
        <v>155661196</v>
      </c>
    </row>
    <row r="45" spans="3:23" ht="14" x14ac:dyDescent="0.15">
      <c r="C45" s="75" t="s">
        <v>38</v>
      </c>
      <c r="D45" s="210">
        <v>5107300</v>
      </c>
      <c r="E45" s="210">
        <v>472857</v>
      </c>
      <c r="F45" s="210">
        <v>37058060</v>
      </c>
      <c r="G45" s="210"/>
      <c r="H45" s="210">
        <v>54500664</v>
      </c>
      <c r="I45" s="210">
        <v>5677475</v>
      </c>
      <c r="J45" s="210">
        <v>38827043</v>
      </c>
      <c r="K45" s="210">
        <v>47205446</v>
      </c>
      <c r="L45" s="210">
        <v>17247733</v>
      </c>
      <c r="M45" s="210">
        <v>8655132</v>
      </c>
      <c r="N45" s="210">
        <v>7699420</v>
      </c>
      <c r="O45" s="210">
        <v>31722079</v>
      </c>
      <c r="P45" s="210">
        <v>490620</v>
      </c>
      <c r="Q45" s="134">
        <f t="shared" si="23"/>
        <v>254663829</v>
      </c>
    </row>
    <row r="46" spans="3:23" ht="14" x14ac:dyDescent="0.15">
      <c r="C46" s="75" t="s">
        <v>39</v>
      </c>
      <c r="D46" s="210">
        <v>4406202</v>
      </c>
      <c r="E46" s="210">
        <v>101671</v>
      </c>
      <c r="F46" s="210">
        <v>52599871</v>
      </c>
      <c r="G46" s="210"/>
      <c r="H46" s="210">
        <v>84223158</v>
      </c>
      <c r="I46" s="210">
        <v>659405</v>
      </c>
      <c r="J46" s="210">
        <v>51945273</v>
      </c>
      <c r="K46" s="210">
        <v>79756398</v>
      </c>
      <c r="L46" s="210">
        <v>22897913</v>
      </c>
      <c r="M46" s="210">
        <v>12425960</v>
      </c>
      <c r="N46" s="210">
        <v>49882875</v>
      </c>
      <c r="O46" s="210">
        <v>50334622</v>
      </c>
      <c r="P46" s="210">
        <v>3566385</v>
      </c>
      <c r="Q46" s="134">
        <f t="shared" si="23"/>
        <v>412799733</v>
      </c>
    </row>
    <row r="47" spans="3:23" ht="14" x14ac:dyDescent="0.15">
      <c r="C47" s="75" t="s">
        <v>40</v>
      </c>
      <c r="D47" s="210">
        <v>5042249</v>
      </c>
      <c r="E47" s="210">
        <v>368609</v>
      </c>
      <c r="F47" s="210">
        <v>112330657</v>
      </c>
      <c r="G47" s="210"/>
      <c r="H47" s="210">
        <v>133841386</v>
      </c>
      <c r="I47" s="210">
        <v>720133</v>
      </c>
      <c r="J47" s="210">
        <v>63965963</v>
      </c>
      <c r="K47" s="210">
        <v>98766037</v>
      </c>
      <c r="L47" s="210">
        <v>20180632</v>
      </c>
      <c r="M47" s="210">
        <v>20538207</v>
      </c>
      <c r="N47" s="210">
        <v>3194725</v>
      </c>
      <c r="O47" s="210">
        <v>38272940</v>
      </c>
      <c r="P47" s="210">
        <v>4158651</v>
      </c>
      <c r="Q47" s="134">
        <f t="shared" si="23"/>
        <v>501380189</v>
      </c>
    </row>
    <row r="48" spans="3:23" ht="14" x14ac:dyDescent="0.15">
      <c r="C48" s="75" t="s">
        <v>41</v>
      </c>
      <c r="D48" s="210">
        <v>10626249</v>
      </c>
      <c r="E48" s="210">
        <v>846248</v>
      </c>
      <c r="F48" s="210">
        <v>120025964</v>
      </c>
      <c r="G48" s="210"/>
      <c r="H48" s="210">
        <v>168676747</v>
      </c>
      <c r="I48" s="210">
        <v>791085</v>
      </c>
      <c r="J48" s="210">
        <v>70588599</v>
      </c>
      <c r="K48" s="210">
        <v>95246110</v>
      </c>
      <c r="L48" s="210">
        <v>24339347</v>
      </c>
      <c r="M48" s="210">
        <v>16768246</v>
      </c>
      <c r="N48" s="210">
        <v>6706193</v>
      </c>
      <c r="O48" s="210">
        <v>54068234</v>
      </c>
      <c r="P48" s="210">
        <v>1599327</v>
      </c>
      <c r="Q48" s="134">
        <f t="shared" si="23"/>
        <v>570282349</v>
      </c>
    </row>
    <row r="49" spans="3:25" ht="14" x14ac:dyDescent="0.15">
      <c r="C49" s="75" t="s">
        <v>42</v>
      </c>
      <c r="D49" s="210">
        <v>10212371</v>
      </c>
      <c r="E49" s="210">
        <v>673608</v>
      </c>
      <c r="F49" s="210">
        <v>120930572</v>
      </c>
      <c r="G49" s="210"/>
      <c r="H49" s="210">
        <v>209906859</v>
      </c>
      <c r="I49" s="210">
        <v>4434948</v>
      </c>
      <c r="J49" s="210">
        <v>111743424</v>
      </c>
      <c r="K49" s="210">
        <v>135286498</v>
      </c>
      <c r="L49" s="210">
        <v>38223085</v>
      </c>
      <c r="M49" s="210">
        <v>18293760</v>
      </c>
      <c r="N49" s="210">
        <v>5756697</v>
      </c>
      <c r="O49" s="210">
        <v>89251096</v>
      </c>
      <c r="P49" s="210">
        <v>4687222</v>
      </c>
      <c r="Q49" s="134">
        <f t="shared" si="23"/>
        <v>749400140</v>
      </c>
    </row>
    <row r="50" spans="3:25" ht="14" x14ac:dyDescent="0.15">
      <c r="C50" s="75" t="s">
        <v>43</v>
      </c>
      <c r="D50" s="210">
        <v>15472293</v>
      </c>
      <c r="E50" s="210">
        <v>1110146</v>
      </c>
      <c r="F50" s="210">
        <v>144293748</v>
      </c>
      <c r="G50" s="210"/>
      <c r="H50" s="210">
        <v>283255958</v>
      </c>
      <c r="I50" s="210">
        <v>4498352</v>
      </c>
      <c r="J50" s="210">
        <v>127080485</v>
      </c>
      <c r="K50" s="210">
        <v>196137679</v>
      </c>
      <c r="L50" s="210">
        <v>67730322</v>
      </c>
      <c r="M50" s="210">
        <v>27464272</v>
      </c>
      <c r="N50" s="210">
        <v>13607626</v>
      </c>
      <c r="O50" s="210">
        <v>71263045</v>
      </c>
      <c r="P50" s="210">
        <v>6392213</v>
      </c>
      <c r="Q50" s="134">
        <f t="shared" si="23"/>
        <v>958306139</v>
      </c>
    </row>
    <row r="51" spans="3:25" ht="14" x14ac:dyDescent="0.15">
      <c r="C51" s="75" t="s">
        <v>45</v>
      </c>
      <c r="D51" s="210">
        <v>15943277</v>
      </c>
      <c r="E51" s="210">
        <v>2000860</v>
      </c>
      <c r="F51" s="210">
        <v>172036391</v>
      </c>
      <c r="G51" s="210"/>
      <c r="H51" s="210">
        <v>405060654</v>
      </c>
      <c r="I51" s="210">
        <v>6384325</v>
      </c>
      <c r="J51" s="210">
        <v>163276446</v>
      </c>
      <c r="K51" s="210">
        <v>360644547</v>
      </c>
      <c r="L51" s="210">
        <v>70647366</v>
      </c>
      <c r="M51" s="210">
        <v>56956518</v>
      </c>
      <c r="N51" s="210">
        <v>13084823</v>
      </c>
      <c r="O51" s="210">
        <v>77176447</v>
      </c>
      <c r="P51" s="210">
        <v>7651738</v>
      </c>
      <c r="Q51" s="134">
        <f t="shared" si="23"/>
        <v>1350863392</v>
      </c>
    </row>
    <row r="52" spans="3:25" ht="14" x14ac:dyDescent="0.15">
      <c r="C52" s="75" t="s">
        <v>72</v>
      </c>
      <c r="D52" s="210">
        <v>18483862</v>
      </c>
      <c r="E52" s="210">
        <v>5180425</v>
      </c>
      <c r="F52" s="210">
        <v>316508622</v>
      </c>
      <c r="G52" s="210"/>
      <c r="H52" s="210">
        <v>409163992</v>
      </c>
      <c r="I52" s="210">
        <v>3932989</v>
      </c>
      <c r="J52" s="210">
        <v>174590976</v>
      </c>
      <c r="K52" s="210">
        <v>230713118</v>
      </c>
      <c r="L52" s="210">
        <v>82185432</v>
      </c>
      <c r="M52" s="210">
        <v>65432243</v>
      </c>
      <c r="N52" s="210">
        <v>31550469</v>
      </c>
      <c r="O52" s="210">
        <v>93017982</v>
      </c>
      <c r="P52" s="210">
        <v>5787392</v>
      </c>
      <c r="Q52" s="134">
        <f t="shared" si="23"/>
        <v>1436547502</v>
      </c>
    </row>
    <row r="53" spans="3:25" ht="14" x14ac:dyDescent="0.15">
      <c r="C53" s="75" t="s">
        <v>84</v>
      </c>
      <c r="D53" s="210">
        <v>31037472</v>
      </c>
      <c r="E53" s="210">
        <v>6667925</v>
      </c>
      <c r="F53" s="210">
        <v>384034918</v>
      </c>
      <c r="G53" s="210"/>
      <c r="H53" s="210">
        <v>257503303</v>
      </c>
      <c r="I53" s="210">
        <v>6870180</v>
      </c>
      <c r="J53" s="210">
        <v>208186137</v>
      </c>
      <c r="K53" s="210">
        <v>107761906</v>
      </c>
      <c r="L53" s="210">
        <v>102272879</v>
      </c>
      <c r="M53" s="210">
        <v>47917738</v>
      </c>
      <c r="N53" s="210">
        <v>26890238</v>
      </c>
      <c r="O53" s="210">
        <v>87788123</v>
      </c>
      <c r="P53" s="210">
        <v>3555455</v>
      </c>
      <c r="Q53" s="134">
        <f t="shared" si="23"/>
        <v>1270486274</v>
      </c>
    </row>
    <row r="54" spans="3:25" ht="14" x14ac:dyDescent="0.15">
      <c r="C54" s="75" t="s">
        <v>91</v>
      </c>
      <c r="D54" s="210">
        <v>26575335</v>
      </c>
      <c r="E54" s="210">
        <v>11235903</v>
      </c>
      <c r="F54" s="210">
        <v>348314922</v>
      </c>
      <c r="G54" s="210"/>
      <c r="H54" s="210">
        <v>297731084</v>
      </c>
      <c r="I54" s="210">
        <v>7114441</v>
      </c>
      <c r="J54" s="210">
        <v>249383788</v>
      </c>
      <c r="K54" s="210">
        <v>239952279</v>
      </c>
      <c r="L54" s="210">
        <v>157131425</v>
      </c>
      <c r="M54" s="210">
        <v>55382038</v>
      </c>
      <c r="N54" s="210">
        <v>34901304</v>
      </c>
      <c r="O54" s="210">
        <v>48444205</v>
      </c>
      <c r="P54" s="210">
        <v>897332</v>
      </c>
      <c r="Q54" s="134">
        <f t="shared" si="23"/>
        <v>1477064056</v>
      </c>
    </row>
    <row r="55" spans="3:25" ht="14" x14ac:dyDescent="0.15">
      <c r="C55" s="75" t="s">
        <v>115</v>
      </c>
      <c r="D55" s="210">
        <v>36577519</v>
      </c>
      <c r="E55" s="210">
        <v>31991156</v>
      </c>
      <c r="F55" s="210">
        <v>390720352</v>
      </c>
      <c r="G55" s="210"/>
      <c r="H55" s="210">
        <v>408146511</v>
      </c>
      <c r="I55" s="210">
        <v>76927701</v>
      </c>
      <c r="J55" s="210">
        <v>276071184</v>
      </c>
      <c r="K55" s="210">
        <v>371424720</v>
      </c>
      <c r="L55" s="210">
        <v>68861390</v>
      </c>
      <c r="M55" s="210">
        <v>38363185</v>
      </c>
      <c r="N55" s="210">
        <v>52227104</v>
      </c>
      <c r="O55" s="210">
        <v>68885911</v>
      </c>
      <c r="P55" s="210">
        <v>1387922</v>
      </c>
      <c r="Q55" s="134">
        <f t="shared" si="23"/>
        <v>1821584655</v>
      </c>
    </row>
    <row r="56" spans="3:25" ht="14" x14ac:dyDescent="0.15">
      <c r="C56" s="75" t="s">
        <v>143</v>
      </c>
      <c r="D56" s="210">
        <v>22938811</v>
      </c>
      <c r="E56" s="210">
        <v>39777545</v>
      </c>
      <c r="F56" s="210">
        <v>373787775</v>
      </c>
      <c r="G56" s="210"/>
      <c r="H56" s="210">
        <v>428937810</v>
      </c>
      <c r="I56" s="210">
        <v>8339315.0000000009</v>
      </c>
      <c r="J56" s="210">
        <v>233800642.99999997</v>
      </c>
      <c r="K56" s="210">
        <v>455375477.00000006</v>
      </c>
      <c r="L56" s="210">
        <v>81462449.999999985</v>
      </c>
      <c r="M56" s="210">
        <v>56457978.999999993</v>
      </c>
      <c r="N56" s="210">
        <v>31767076.999999996</v>
      </c>
      <c r="O56" s="210">
        <v>59364289.999999993</v>
      </c>
      <c r="P56" s="210">
        <v>1322913</v>
      </c>
      <c r="Q56" s="134">
        <f t="shared" si="23"/>
        <v>1793332085</v>
      </c>
    </row>
    <row r="57" spans="3:25" ht="14" x14ac:dyDescent="0.15">
      <c r="C57" s="75" t="s">
        <v>147</v>
      </c>
      <c r="D57" s="210">
        <v>24043609</v>
      </c>
      <c r="E57" s="210">
        <v>34563133</v>
      </c>
      <c r="F57" s="210">
        <v>247009655</v>
      </c>
      <c r="G57" s="210"/>
      <c r="H57" s="210">
        <v>479789381</v>
      </c>
      <c r="I57" s="210">
        <v>13966144</v>
      </c>
      <c r="J57" s="210">
        <v>252374606</v>
      </c>
      <c r="K57" s="210">
        <v>536582461</v>
      </c>
      <c r="L57" s="210">
        <v>64506292</v>
      </c>
      <c r="M57" s="210">
        <v>50985855</v>
      </c>
      <c r="N57" s="210">
        <v>68714118</v>
      </c>
      <c r="O57" s="210">
        <v>8494147</v>
      </c>
      <c r="P57" s="210">
        <v>1268106</v>
      </c>
      <c r="Q57" s="134">
        <v>1782297507</v>
      </c>
    </row>
    <row r="58" spans="3:25" ht="14" x14ac:dyDescent="0.15">
      <c r="C58" s="75" t="s">
        <v>159</v>
      </c>
      <c r="D58" s="210">
        <v>24136045</v>
      </c>
      <c r="E58" s="210">
        <v>51888854</v>
      </c>
      <c r="F58" s="210">
        <v>265180324</v>
      </c>
      <c r="G58" s="210"/>
      <c r="H58" s="210">
        <v>539966533</v>
      </c>
      <c r="I58" s="210">
        <v>10362462</v>
      </c>
      <c r="J58" s="210">
        <v>512765101</v>
      </c>
      <c r="K58" s="210">
        <v>677692957</v>
      </c>
      <c r="L58" s="210">
        <v>87339474</v>
      </c>
      <c r="M58" s="210">
        <v>70861675</v>
      </c>
      <c r="N58" s="210">
        <v>102537036</v>
      </c>
      <c r="O58" s="210">
        <v>510767686</v>
      </c>
      <c r="P58" s="210">
        <v>1049212</v>
      </c>
      <c r="Q58" s="210">
        <v>2854547359</v>
      </c>
    </row>
    <row r="59" spans="3:25" ht="14" x14ac:dyDescent="0.15">
      <c r="C59" s="75" t="s">
        <v>162</v>
      </c>
      <c r="D59" s="210">
        <v>27930698</v>
      </c>
      <c r="E59" s="210">
        <v>48061693</v>
      </c>
      <c r="F59" s="210">
        <v>265964485</v>
      </c>
      <c r="G59" s="210">
        <v>10814</v>
      </c>
      <c r="H59" s="210">
        <v>553569335</v>
      </c>
      <c r="I59" s="210">
        <v>4429493</v>
      </c>
      <c r="J59" s="210">
        <v>613623850</v>
      </c>
      <c r="K59" s="210">
        <v>401483179</v>
      </c>
      <c r="L59" s="210">
        <v>130018663</v>
      </c>
      <c r="M59" s="210">
        <v>69771438</v>
      </c>
      <c r="N59" s="210">
        <v>73071165</v>
      </c>
      <c r="O59" s="210">
        <v>282318658</v>
      </c>
      <c r="P59" s="210">
        <v>1039612</v>
      </c>
      <c r="Q59" s="210">
        <v>2471293083</v>
      </c>
    </row>
    <row r="60" spans="3:25" ht="14" x14ac:dyDescent="0.15">
      <c r="C60" s="75" t="s">
        <v>167</v>
      </c>
      <c r="D60" s="210">
        <v>46231843</v>
      </c>
      <c r="E60" s="210">
        <v>69781618</v>
      </c>
      <c r="F60" s="210">
        <v>1149643050</v>
      </c>
      <c r="G60" s="210">
        <v>87867</v>
      </c>
      <c r="H60" s="210">
        <v>665350471</v>
      </c>
      <c r="I60" s="210">
        <v>5019508</v>
      </c>
      <c r="J60" s="210">
        <v>1660080285</v>
      </c>
      <c r="K60" s="210">
        <v>491252631</v>
      </c>
      <c r="L60" s="210">
        <v>156046595</v>
      </c>
      <c r="M60" s="210">
        <v>66930111</v>
      </c>
      <c r="N60" s="210">
        <v>132414754</v>
      </c>
      <c r="O60" s="210">
        <v>39181714</v>
      </c>
      <c r="P60" s="210">
        <v>1758284</v>
      </c>
      <c r="Q60" s="210">
        <v>4483778731</v>
      </c>
    </row>
    <row r="61" spans="3:25" ht="14" x14ac:dyDescent="0.15">
      <c r="C61" s="289" t="s">
        <v>209</v>
      </c>
      <c r="D61" s="290">
        <v>64438758</v>
      </c>
      <c r="E61" s="290">
        <v>220060770</v>
      </c>
      <c r="F61" s="290">
        <v>1192952957</v>
      </c>
      <c r="G61" s="290">
        <v>155485</v>
      </c>
      <c r="H61" s="290">
        <v>777527569</v>
      </c>
      <c r="I61" s="290">
        <v>16489102</v>
      </c>
      <c r="J61" s="290">
        <v>3523238845</v>
      </c>
      <c r="K61" s="290">
        <v>898250936</v>
      </c>
      <c r="L61" s="290">
        <v>308298133</v>
      </c>
      <c r="M61" s="290">
        <v>83849920</v>
      </c>
      <c r="N61" s="290">
        <v>192542092</v>
      </c>
      <c r="O61" s="290">
        <v>163944387</v>
      </c>
      <c r="P61" s="290">
        <v>1294082</v>
      </c>
      <c r="Q61" s="290">
        <f>SUM(D61:P61)</f>
        <v>7443043036</v>
      </c>
    </row>
    <row r="62" spans="3:25" ht="14" x14ac:dyDescent="0.15">
      <c r="C62" s="34" t="s">
        <v>23</v>
      </c>
      <c r="Y62" s="10"/>
    </row>
    <row r="63" spans="3:25" x14ac:dyDescent="0.15">
      <c r="C63" t="s">
        <v>47</v>
      </c>
      <c r="D63" s="110" t="s">
        <v>3</v>
      </c>
      <c r="E63" s="110" t="s">
        <v>4</v>
      </c>
      <c r="F63" s="110" t="s">
        <v>5</v>
      </c>
      <c r="G63" s="161" t="s">
        <v>161</v>
      </c>
      <c r="H63" s="110" t="s">
        <v>6</v>
      </c>
      <c r="I63" s="110" t="s">
        <v>7</v>
      </c>
      <c r="J63" s="114" t="s">
        <v>14</v>
      </c>
      <c r="K63" s="114" t="s">
        <v>114</v>
      </c>
      <c r="L63" s="114" t="s">
        <v>8</v>
      </c>
      <c r="M63" s="114" t="s">
        <v>17</v>
      </c>
      <c r="N63" s="114" t="s">
        <v>9</v>
      </c>
      <c r="O63" s="114" t="s">
        <v>12</v>
      </c>
      <c r="P63" s="114" t="s">
        <v>10</v>
      </c>
      <c r="Q63" s="238" t="s">
        <v>11</v>
      </c>
    </row>
    <row r="64" spans="3:25" ht="14" x14ac:dyDescent="0.15">
      <c r="C64" s="29" t="s">
        <v>59</v>
      </c>
      <c r="D64" s="132">
        <f>D85/1024</f>
        <v>0</v>
      </c>
      <c r="E64" s="132">
        <f t="shared" ref="E64:P64" si="24">E85/1024</f>
        <v>0</v>
      </c>
      <c r="F64" s="132">
        <f t="shared" si="24"/>
        <v>0</v>
      </c>
      <c r="G64" s="132">
        <f t="shared" si="24"/>
        <v>0</v>
      </c>
      <c r="H64" s="132">
        <f t="shared" si="24"/>
        <v>72.887439727783203</v>
      </c>
      <c r="I64" s="132">
        <f t="shared" si="24"/>
        <v>0</v>
      </c>
      <c r="J64" s="132">
        <f t="shared" si="24"/>
        <v>6.6466856002807617</v>
      </c>
      <c r="K64" s="132">
        <f t="shared" si="24"/>
        <v>569.63172245025635</v>
      </c>
      <c r="L64" s="132">
        <f t="shared" si="24"/>
        <v>15.27695369720459</v>
      </c>
      <c r="M64" s="132">
        <f t="shared" si="24"/>
        <v>0</v>
      </c>
      <c r="N64" s="132">
        <f t="shared" si="24"/>
        <v>0</v>
      </c>
      <c r="O64" s="132">
        <f t="shared" si="24"/>
        <v>0</v>
      </c>
      <c r="P64" s="132">
        <f t="shared" si="24"/>
        <v>0</v>
      </c>
      <c r="Q64" s="132">
        <f t="shared" ref="Q64:Q77" si="25">SUM(D64:P64)</f>
        <v>664.4428014755249</v>
      </c>
    </row>
    <row r="65" spans="3:17" ht="14" x14ac:dyDescent="0.15">
      <c r="C65" s="29" t="s">
        <v>37</v>
      </c>
      <c r="D65" s="132">
        <f t="shared" ref="D65:P65" si="26">D86/1024</f>
        <v>167.13747070312499</v>
      </c>
      <c r="E65" s="132">
        <f t="shared" si="26"/>
        <v>16.502822265624999</v>
      </c>
      <c r="F65" s="132">
        <f t="shared" si="26"/>
        <v>0</v>
      </c>
      <c r="G65" s="132">
        <f t="shared" si="26"/>
        <v>0</v>
      </c>
      <c r="H65" s="132">
        <f t="shared" si="26"/>
        <v>302.798525390625</v>
      </c>
      <c r="I65" s="132">
        <f t="shared" si="26"/>
        <v>12.077285156249999</v>
      </c>
      <c r="J65" s="132">
        <f t="shared" si="26"/>
        <v>448.11910156250002</v>
      </c>
      <c r="K65" s="132">
        <f t="shared" si="26"/>
        <v>813.94316406250005</v>
      </c>
      <c r="L65" s="132">
        <f t="shared" si="26"/>
        <v>81.316943359375017</v>
      </c>
      <c r="M65" s="132">
        <f t="shared" si="26"/>
        <v>61.039814453125004</v>
      </c>
      <c r="N65" s="132">
        <f t="shared" si="26"/>
        <v>0.73624999999999996</v>
      </c>
      <c r="O65" s="132">
        <f t="shared" si="26"/>
        <v>62.173291015624997</v>
      </c>
      <c r="P65" s="132">
        <f t="shared" si="26"/>
        <v>6.4423828124999999E-2</v>
      </c>
      <c r="Q65" s="132">
        <f t="shared" si="25"/>
        <v>1965.9090917968749</v>
      </c>
    </row>
    <row r="66" spans="3:17" ht="14" x14ac:dyDescent="0.15">
      <c r="C66" s="29" t="s">
        <v>38</v>
      </c>
      <c r="D66" s="132">
        <f t="shared" ref="D66:P66" si="27">D87/1024</f>
        <v>187.91737431887725</v>
      </c>
      <c r="E66" s="132">
        <f t="shared" si="27"/>
        <v>41.982201290367755</v>
      </c>
      <c r="F66" s="132">
        <f t="shared" si="27"/>
        <v>9.2010803301645563</v>
      </c>
      <c r="G66" s="132">
        <f t="shared" si="27"/>
        <v>0</v>
      </c>
      <c r="H66" s="132">
        <f t="shared" si="27"/>
        <v>487.31976638919554</v>
      </c>
      <c r="I66" s="132">
        <f t="shared" si="27"/>
        <v>8.6275993815233729</v>
      </c>
      <c r="J66" s="132">
        <f t="shared" si="27"/>
        <v>538.93535439403638</v>
      </c>
      <c r="K66" s="132">
        <f t="shared" si="27"/>
        <v>866.74800395509101</v>
      </c>
      <c r="L66" s="132">
        <f t="shared" si="27"/>
        <v>119.99649580963224</v>
      </c>
      <c r="M66" s="132">
        <f t="shared" si="27"/>
        <v>73.955380859374998</v>
      </c>
      <c r="N66" s="132">
        <f t="shared" si="27"/>
        <v>2.859052655876436</v>
      </c>
      <c r="O66" s="132">
        <f t="shared" si="27"/>
        <v>91.35252567675154</v>
      </c>
      <c r="P66" s="132">
        <f t="shared" si="27"/>
        <v>0.31630323165882113</v>
      </c>
      <c r="Q66" s="132">
        <f t="shared" si="25"/>
        <v>2429.21113829255</v>
      </c>
    </row>
    <row r="67" spans="3:17" ht="14" x14ac:dyDescent="0.15">
      <c r="C67" s="29" t="s">
        <v>39</v>
      </c>
      <c r="D67" s="132">
        <f t="shared" ref="D67:P67" si="28">D88/1024</f>
        <v>232.70969726562498</v>
      </c>
      <c r="E67" s="132">
        <f t="shared" si="28"/>
        <v>2.6634765624999996</v>
      </c>
      <c r="F67" s="132">
        <f t="shared" si="28"/>
        <v>17.431845703124999</v>
      </c>
      <c r="G67" s="132">
        <f t="shared" si="28"/>
        <v>0</v>
      </c>
      <c r="H67" s="132">
        <f t="shared" si="28"/>
        <v>698.67523437499995</v>
      </c>
      <c r="I67" s="132">
        <f t="shared" si="28"/>
        <v>12.410048828124999</v>
      </c>
      <c r="J67" s="132">
        <f t="shared" si="28"/>
        <v>952.70526367187506</v>
      </c>
      <c r="K67" s="132">
        <f t="shared" si="28"/>
        <v>1287.3805273437499</v>
      </c>
      <c r="L67" s="132">
        <f t="shared" si="28"/>
        <v>140.17009765624999</v>
      </c>
      <c r="M67" s="132">
        <f t="shared" si="28"/>
        <v>173.84639648437499</v>
      </c>
      <c r="N67" s="132">
        <f t="shared" si="28"/>
        <v>4.9920605468749999</v>
      </c>
      <c r="O67" s="132">
        <f t="shared" si="28"/>
        <v>104.92124023437498</v>
      </c>
      <c r="P67" s="132">
        <f t="shared" si="28"/>
        <v>1.4294628906250002</v>
      </c>
      <c r="Q67" s="132">
        <f t="shared" si="25"/>
        <v>3629.3353515624999</v>
      </c>
    </row>
    <row r="68" spans="3:17" ht="14" x14ac:dyDescent="0.15">
      <c r="C68" s="29" t="s">
        <v>40</v>
      </c>
      <c r="D68" s="132">
        <f t="shared" ref="D68:P68" si="29">D89/1024</f>
        <v>195.51196289062503</v>
      </c>
      <c r="E68" s="132">
        <f t="shared" si="29"/>
        <v>103.10643554687501</v>
      </c>
      <c r="F68" s="132">
        <f t="shared" si="29"/>
        <v>35.759873046874993</v>
      </c>
      <c r="G68" s="132">
        <f t="shared" si="29"/>
        <v>0</v>
      </c>
      <c r="H68" s="132">
        <f t="shared" si="29"/>
        <v>1042.4527050781248</v>
      </c>
      <c r="I68" s="132">
        <f t="shared" si="29"/>
        <v>5.9392285156250013</v>
      </c>
      <c r="J68" s="132">
        <f t="shared" si="29"/>
        <v>1178.54642578125</v>
      </c>
      <c r="K68" s="132">
        <f t="shared" si="29"/>
        <v>1578.3927832031247</v>
      </c>
      <c r="L68" s="132">
        <f t="shared" si="29"/>
        <v>185.13569335937498</v>
      </c>
      <c r="M68" s="132">
        <f t="shared" si="29"/>
        <v>282.97775390625003</v>
      </c>
      <c r="N68" s="132">
        <f t="shared" si="29"/>
        <v>7.1624121093750004</v>
      </c>
      <c r="O68" s="132">
        <f t="shared" si="29"/>
        <v>111.833525390625</v>
      </c>
      <c r="P68" s="132">
        <f t="shared" si="29"/>
        <v>2.8848242187499995</v>
      </c>
      <c r="Q68" s="132">
        <f t="shared" si="25"/>
        <v>4729.7036230468739</v>
      </c>
    </row>
    <row r="69" spans="3:17" ht="14" x14ac:dyDescent="0.15">
      <c r="C69" s="29" t="s">
        <v>41</v>
      </c>
      <c r="D69" s="132">
        <f t="shared" ref="D69:P69" si="30">D90/1024</f>
        <v>643.93322265624988</v>
      </c>
      <c r="E69" s="132">
        <f t="shared" si="30"/>
        <v>188.17906250000001</v>
      </c>
      <c r="F69" s="132">
        <f t="shared" si="30"/>
        <v>37.516135742187501</v>
      </c>
      <c r="G69" s="132">
        <f t="shared" si="30"/>
        <v>0</v>
      </c>
      <c r="H69" s="132">
        <f t="shared" si="30"/>
        <v>1327.66482421875</v>
      </c>
      <c r="I69" s="132">
        <f t="shared" si="30"/>
        <v>7.2834960937500011</v>
      </c>
      <c r="J69" s="132">
        <f t="shared" si="30"/>
        <v>1200.866494140625</v>
      </c>
      <c r="K69" s="132">
        <f t="shared" si="30"/>
        <v>1289.7931152343751</v>
      </c>
      <c r="L69" s="132">
        <f t="shared" si="30"/>
        <v>168.339326171875</v>
      </c>
      <c r="M69" s="132">
        <f t="shared" si="30"/>
        <v>370.48637695312499</v>
      </c>
      <c r="N69" s="132">
        <f t="shared" si="30"/>
        <v>10.159755859375002</v>
      </c>
      <c r="O69" s="132">
        <f t="shared" si="30"/>
        <v>161.62029296874999</v>
      </c>
      <c r="P69" s="132">
        <f t="shared" si="30"/>
        <v>1.470908203125</v>
      </c>
      <c r="Q69" s="132">
        <f t="shared" si="25"/>
        <v>5407.3130107421866</v>
      </c>
    </row>
    <row r="70" spans="3:17" ht="14" x14ac:dyDescent="0.15">
      <c r="C70" s="29" t="s">
        <v>42</v>
      </c>
      <c r="D70" s="132">
        <f t="shared" ref="D70:P70" si="31">D91/1024</f>
        <v>624.53989257812486</v>
      </c>
      <c r="E70" s="132">
        <f t="shared" si="31"/>
        <v>81.960292968749997</v>
      </c>
      <c r="F70" s="132">
        <f t="shared" si="31"/>
        <v>48.773496093749998</v>
      </c>
      <c r="G70" s="132">
        <f t="shared" si="31"/>
        <v>0</v>
      </c>
      <c r="H70" s="132">
        <f t="shared" si="31"/>
        <v>1942.4786035156249</v>
      </c>
      <c r="I70" s="132">
        <f t="shared" si="31"/>
        <v>6.9492285156250002</v>
      </c>
      <c r="J70" s="132">
        <f t="shared" si="31"/>
        <v>1456.1670898437501</v>
      </c>
      <c r="K70" s="132">
        <f t="shared" si="31"/>
        <v>2080.3925292968752</v>
      </c>
      <c r="L70" s="132">
        <f t="shared" si="31"/>
        <v>180.22646484374999</v>
      </c>
      <c r="M70" s="132">
        <f t="shared" si="31"/>
        <v>500.98374023437498</v>
      </c>
      <c r="N70" s="132">
        <f t="shared" si="31"/>
        <v>16.33041015625</v>
      </c>
      <c r="O70" s="132">
        <f t="shared" si="31"/>
        <v>232.35997070312499</v>
      </c>
      <c r="P70" s="132">
        <f t="shared" si="31"/>
        <v>2.5720312500000002</v>
      </c>
      <c r="Q70" s="132">
        <f t="shared" si="25"/>
        <v>7173.7337499999994</v>
      </c>
    </row>
    <row r="71" spans="3:17" ht="14" x14ac:dyDescent="0.15">
      <c r="C71" s="29" t="s">
        <v>43</v>
      </c>
      <c r="D71" s="132">
        <f t="shared" ref="D71:P71" si="32">D92/1024</f>
        <v>1094.296884765625</v>
      </c>
      <c r="E71" s="132">
        <f t="shared" si="32"/>
        <v>349.97136718750005</v>
      </c>
      <c r="F71" s="132">
        <f t="shared" si="32"/>
        <v>72.337106445312514</v>
      </c>
      <c r="G71" s="132">
        <f t="shared" si="32"/>
        <v>0</v>
      </c>
      <c r="H71" s="132">
        <f t="shared" si="32"/>
        <v>1770.654091796875</v>
      </c>
      <c r="I71" s="132">
        <f t="shared" si="32"/>
        <v>8.9811523437499989</v>
      </c>
      <c r="J71" s="132">
        <f t="shared" si="32"/>
        <v>2132.9461816406251</v>
      </c>
      <c r="K71" s="132">
        <f t="shared" si="32"/>
        <v>3045.8086132812505</v>
      </c>
      <c r="L71" s="132">
        <f t="shared" si="32"/>
        <v>169.87938476562502</v>
      </c>
      <c r="M71" s="132">
        <f t="shared" si="32"/>
        <v>404.45936523437501</v>
      </c>
      <c r="N71" s="132">
        <f t="shared" si="32"/>
        <v>21.51076171875</v>
      </c>
      <c r="O71" s="132">
        <f t="shared" si="32"/>
        <v>207.10779296875</v>
      </c>
      <c r="P71" s="132">
        <f t="shared" si="32"/>
        <v>2.7203515624999999</v>
      </c>
      <c r="Q71" s="132">
        <f t="shared" si="25"/>
        <v>9280.6730537109397</v>
      </c>
    </row>
    <row r="72" spans="3:17" ht="14" x14ac:dyDescent="0.15">
      <c r="C72" s="29" t="s">
        <v>45</v>
      </c>
      <c r="D72" s="132">
        <f t="shared" ref="D72:P72" si="33">D93/1024</f>
        <v>1142.3560986581349</v>
      </c>
      <c r="E72" s="132">
        <f t="shared" si="33"/>
        <v>189.67558521090592</v>
      </c>
      <c r="F72" s="132">
        <f t="shared" si="33"/>
        <v>93.666928523617443</v>
      </c>
      <c r="G72" s="132">
        <f t="shared" si="33"/>
        <v>0</v>
      </c>
      <c r="H72" s="132">
        <f t="shared" si="33"/>
        <v>2071.4167294902027</v>
      </c>
      <c r="I72" s="132">
        <f t="shared" si="33"/>
        <v>16.130874663122043</v>
      </c>
      <c r="J72" s="132">
        <f t="shared" si="33"/>
        <v>1801.2341377453145</v>
      </c>
      <c r="K72" s="132">
        <f t="shared" si="33"/>
        <v>3916.7340831344368</v>
      </c>
      <c r="L72" s="132">
        <f t="shared" si="33"/>
        <v>201.59095327375263</v>
      </c>
      <c r="M72" s="132">
        <f t="shared" si="33"/>
        <v>1191.0308301382825</v>
      </c>
      <c r="N72" s="132">
        <f t="shared" si="33"/>
        <v>20.427300843186408</v>
      </c>
      <c r="O72" s="132">
        <f t="shared" si="33"/>
        <v>300.98538081447828</v>
      </c>
      <c r="P72" s="132">
        <f t="shared" si="33"/>
        <v>1.672547038133412</v>
      </c>
      <c r="Q72" s="132">
        <f t="shared" si="25"/>
        <v>10946.921449533569</v>
      </c>
    </row>
    <row r="73" spans="3:17" ht="14" x14ac:dyDescent="0.15">
      <c r="C73" s="29" t="s">
        <v>72</v>
      </c>
      <c r="D73" s="132">
        <f t="shared" ref="D73:P73" si="34">D94/1024</f>
        <v>1315.178235138271</v>
      </c>
      <c r="E73" s="132">
        <f t="shared" si="34"/>
        <v>625.93828388214115</v>
      </c>
      <c r="F73" s="132">
        <f t="shared" si="34"/>
        <v>143.02083835122664</v>
      </c>
      <c r="G73" s="132">
        <f t="shared" si="34"/>
        <v>0</v>
      </c>
      <c r="H73" s="132">
        <f t="shared" si="34"/>
        <v>4058.9668372702859</v>
      </c>
      <c r="I73" s="132">
        <f t="shared" si="34"/>
        <v>8.8443165346970822</v>
      </c>
      <c r="J73" s="132">
        <f t="shared" si="34"/>
        <v>2501.0258962979528</v>
      </c>
      <c r="K73" s="132">
        <f t="shared" si="34"/>
        <v>2935.5405872167821</v>
      </c>
      <c r="L73" s="132">
        <f t="shared" si="34"/>
        <v>262.98465774811689</v>
      </c>
      <c r="M73" s="132">
        <f t="shared" si="34"/>
        <v>1479.5026629857307</v>
      </c>
      <c r="N73" s="132">
        <f t="shared" si="34"/>
        <v>71.654050646128539</v>
      </c>
      <c r="O73" s="132">
        <f t="shared" si="34"/>
        <v>481.28024073248207</v>
      </c>
      <c r="P73" s="132">
        <f t="shared" si="34"/>
        <v>2.8853466487826123</v>
      </c>
      <c r="Q73" s="132">
        <f t="shared" si="25"/>
        <v>13886.821953452594</v>
      </c>
    </row>
    <row r="74" spans="3:17" ht="14" x14ac:dyDescent="0.15">
      <c r="C74" s="29" t="s">
        <v>84</v>
      </c>
      <c r="D74" s="132">
        <f t="shared" ref="D74:P74" si="35">D95/1024</f>
        <v>2378.330091915208</v>
      </c>
      <c r="E74" s="132">
        <f t="shared" si="35"/>
        <v>1418.5444757995174</v>
      </c>
      <c r="F74" s="132">
        <f t="shared" si="35"/>
        <v>151.56757468700411</v>
      </c>
      <c r="G74" s="132">
        <f t="shared" si="35"/>
        <v>0</v>
      </c>
      <c r="H74" s="132">
        <f t="shared" si="35"/>
        <v>5627.2969162931304</v>
      </c>
      <c r="I74" s="132">
        <f t="shared" si="35"/>
        <v>20.591103977747451</v>
      </c>
      <c r="J74" s="132">
        <f t="shared" si="35"/>
        <v>4255.6231546384679</v>
      </c>
      <c r="K74" s="132">
        <f t="shared" si="35"/>
        <v>2161.3215733560392</v>
      </c>
      <c r="L74" s="132">
        <f t="shared" si="35"/>
        <v>383.64800415002031</v>
      </c>
      <c r="M74" s="132">
        <f t="shared" si="35"/>
        <v>1388.5250310475176</v>
      </c>
      <c r="N74" s="132">
        <f t="shared" si="35"/>
        <v>169.07318274293493</v>
      </c>
      <c r="O74" s="132">
        <f t="shared" si="35"/>
        <v>547.693270146636</v>
      </c>
      <c r="P74" s="132">
        <f t="shared" si="35"/>
        <v>5.9447709620208062</v>
      </c>
      <c r="Q74" s="132">
        <f t="shared" si="25"/>
        <v>18508.159149716244</v>
      </c>
    </row>
    <row r="75" spans="3:17" ht="14" x14ac:dyDescent="0.15">
      <c r="C75" s="29" t="s">
        <v>91</v>
      </c>
      <c r="D75" s="132">
        <f t="shared" ref="D75:P75" si="36">D96/1024</f>
        <v>2313.0587907771337</v>
      </c>
      <c r="E75" s="132">
        <f t="shared" si="36"/>
        <v>4765.1611050831152</v>
      </c>
      <c r="F75" s="132">
        <f t="shared" si="36"/>
        <v>204.15549725133349</v>
      </c>
      <c r="G75" s="132">
        <f t="shared" si="36"/>
        <v>0</v>
      </c>
      <c r="H75" s="132">
        <f t="shared" si="36"/>
        <v>5034.0588623252679</v>
      </c>
      <c r="I75" s="132">
        <f t="shared" si="36"/>
        <v>12.591962663170269</v>
      </c>
      <c r="J75" s="132">
        <f t="shared" si="36"/>
        <v>4591.9783496847376</v>
      </c>
      <c r="K75" s="132">
        <f t="shared" si="36"/>
        <v>3807.4714743847521</v>
      </c>
      <c r="L75" s="132">
        <f t="shared" si="36"/>
        <v>542.40039763831942</v>
      </c>
      <c r="M75" s="132">
        <f t="shared" si="36"/>
        <v>1277.2397893217526</v>
      </c>
      <c r="N75" s="132">
        <f t="shared" si="36"/>
        <v>369.99535867868644</v>
      </c>
      <c r="O75" s="132">
        <f t="shared" si="36"/>
        <v>575.22878332717403</v>
      </c>
      <c r="P75" s="132">
        <f t="shared" si="36"/>
        <v>8.5406350103512469</v>
      </c>
      <c r="Q75" s="132">
        <f t="shared" si="25"/>
        <v>23501.881006145795</v>
      </c>
    </row>
    <row r="76" spans="3:17" ht="14" x14ac:dyDescent="0.15">
      <c r="C76" s="29" t="s">
        <v>115</v>
      </c>
      <c r="D76" s="132">
        <f t="shared" ref="D76:P76" si="37">D97/1024</f>
        <v>3142.6228653905268</v>
      </c>
      <c r="E76" s="132">
        <f t="shared" si="37"/>
        <v>7046.9466499104692</v>
      </c>
      <c r="F76" s="132">
        <f t="shared" si="37"/>
        <v>247.40886884517704</v>
      </c>
      <c r="G76" s="132">
        <f t="shared" si="37"/>
        <v>0</v>
      </c>
      <c r="H76" s="132">
        <f t="shared" si="37"/>
        <v>5609.586306892762</v>
      </c>
      <c r="I76" s="132">
        <f t="shared" si="37"/>
        <v>26.237466519949471</v>
      </c>
      <c r="J76" s="132">
        <f t="shared" si="37"/>
        <v>7854.7410374871542</v>
      </c>
      <c r="K76" s="132">
        <f t="shared" si="37"/>
        <v>9631.8542780975458</v>
      </c>
      <c r="L76" s="132">
        <f t="shared" si="37"/>
        <v>741.94191730615671</v>
      </c>
      <c r="M76" s="132">
        <f t="shared" si="37"/>
        <v>1419.2565291333219</v>
      </c>
      <c r="N76" s="132">
        <f t="shared" si="37"/>
        <v>334.68256025501478</v>
      </c>
      <c r="O76" s="132">
        <f t="shared" si="37"/>
        <v>608.16590161141198</v>
      </c>
      <c r="P76" s="132">
        <f t="shared" si="37"/>
        <v>13.233766058233382</v>
      </c>
      <c r="Q76" s="132">
        <f t="shared" si="25"/>
        <v>36676.67814750773</v>
      </c>
    </row>
    <row r="77" spans="3:17" ht="14" x14ac:dyDescent="0.15">
      <c r="C77" s="75" t="s">
        <v>143</v>
      </c>
      <c r="D77" s="132">
        <f t="shared" ref="D77:P77" si="38">D98/1024</f>
        <v>2427.3425886308532</v>
      </c>
      <c r="E77" s="132">
        <f t="shared" si="38"/>
        <v>15479.991969146842</v>
      </c>
      <c r="F77" s="132">
        <f t="shared" si="38"/>
        <v>356.48163042754214</v>
      </c>
      <c r="G77" s="132">
        <f t="shared" si="38"/>
        <v>0</v>
      </c>
      <c r="H77" s="132">
        <f t="shared" si="38"/>
        <v>7198.7309283590685</v>
      </c>
      <c r="I77" s="132">
        <f t="shared" si="38"/>
        <v>15.774109394924338</v>
      </c>
      <c r="J77" s="132">
        <f t="shared" si="38"/>
        <v>4295.675914706997</v>
      </c>
      <c r="K77" s="132">
        <f t="shared" si="38"/>
        <v>9482.8015255586179</v>
      </c>
      <c r="L77" s="132">
        <f t="shared" si="38"/>
        <v>1391.6840914633183</v>
      </c>
      <c r="M77" s="132">
        <f t="shared" si="38"/>
        <v>2258.0962122898009</v>
      </c>
      <c r="N77" s="132">
        <f t="shared" si="38"/>
        <v>275.63115082560773</v>
      </c>
      <c r="O77" s="132">
        <f t="shared" si="38"/>
        <v>946.38637886907759</v>
      </c>
      <c r="P77" s="132">
        <f t="shared" si="38"/>
        <v>14.656736233481688</v>
      </c>
      <c r="Q77" s="132">
        <f t="shared" si="25"/>
        <v>44143.253235906137</v>
      </c>
    </row>
    <row r="78" spans="3:17" ht="14" x14ac:dyDescent="0.15">
      <c r="C78" s="75" t="s">
        <v>147</v>
      </c>
      <c r="D78" s="132">
        <f t="shared" ref="D78:G78" si="39">D99/1024</f>
        <v>3164.3391878759608</v>
      </c>
      <c r="E78" s="132">
        <f t="shared" si="39"/>
        <v>26178.076805144643</v>
      </c>
      <c r="F78" s="132">
        <f t="shared" si="39"/>
        <v>276.03156435923256</v>
      </c>
      <c r="G78" s="132">
        <f t="shared" si="39"/>
        <v>0</v>
      </c>
      <c r="H78" s="132">
        <f t="shared" ref="H78:P78" si="40">H99/1024</f>
        <v>8196.3377035890444</v>
      </c>
      <c r="I78" s="132">
        <f t="shared" si="40"/>
        <v>15.458082516180147</v>
      </c>
      <c r="J78" s="132">
        <f t="shared" si="40"/>
        <v>5563.5739033607933</v>
      </c>
      <c r="K78" s="132">
        <f t="shared" si="40"/>
        <v>10949.505956707984</v>
      </c>
      <c r="L78" s="132">
        <f t="shared" si="40"/>
        <v>1662.7633851516339</v>
      </c>
      <c r="M78" s="132">
        <f t="shared" si="40"/>
        <v>2072.4764548165576</v>
      </c>
      <c r="N78" s="132">
        <f t="shared" si="40"/>
        <v>583.80616283701715</v>
      </c>
      <c r="O78" s="132">
        <f t="shared" si="40"/>
        <v>1446.7530219632524</v>
      </c>
      <c r="P78" s="132">
        <f t="shared" si="40"/>
        <v>18.567785647362996</v>
      </c>
      <c r="Q78" s="132">
        <f t="shared" ref="Q78:Q82" si="41">SUM(D78:P78)</f>
        <v>60127.690013969681</v>
      </c>
    </row>
    <row r="79" spans="3:17" ht="14" x14ac:dyDescent="0.15">
      <c r="C79" s="75" t="s">
        <v>159</v>
      </c>
      <c r="D79" s="132">
        <f t="shared" ref="D79:G79" si="42">D100/1024</f>
        <v>3679.7392073924225</v>
      </c>
      <c r="E79" s="132">
        <f t="shared" si="42"/>
        <v>49408.364429043504</v>
      </c>
      <c r="F79" s="132">
        <f t="shared" si="42"/>
        <v>325.9515017281413</v>
      </c>
      <c r="G79" s="132">
        <f t="shared" si="42"/>
        <v>0</v>
      </c>
      <c r="H79" s="132">
        <f t="shared" ref="H79:P79" si="43">H100/1024</f>
        <v>8791.0822091912978</v>
      </c>
      <c r="I79" s="132">
        <f t="shared" si="43"/>
        <v>29.78518386978153</v>
      </c>
      <c r="J79" s="132">
        <f t="shared" si="43"/>
        <v>9332.6586216569885</v>
      </c>
      <c r="K79" s="132">
        <f t="shared" si="43"/>
        <v>19121.102081971556</v>
      </c>
      <c r="L79" s="132">
        <f t="shared" si="43"/>
        <v>2043.2440052018444</v>
      </c>
      <c r="M79" s="132">
        <f t="shared" si="43"/>
        <v>2652.1905676660635</v>
      </c>
      <c r="N79" s="132">
        <f t="shared" si="43"/>
        <v>1079.3364815819752</v>
      </c>
      <c r="O79" s="132">
        <f t="shared" si="43"/>
        <v>4139.5547063332306</v>
      </c>
      <c r="P79" s="132">
        <f t="shared" si="43"/>
        <v>26.975272704018536</v>
      </c>
      <c r="Q79" s="132">
        <f t="shared" si="41"/>
        <v>100629.98426834085</v>
      </c>
    </row>
    <row r="80" spans="3:17" ht="14" x14ac:dyDescent="0.15">
      <c r="C80" s="75" t="s">
        <v>162</v>
      </c>
      <c r="D80" s="132">
        <f t="shared" ref="D80:G80" si="44">D100/1024</f>
        <v>3679.7392073924225</v>
      </c>
      <c r="E80" s="132">
        <f t="shared" si="44"/>
        <v>49408.364429043504</v>
      </c>
      <c r="F80" s="132">
        <f t="shared" si="44"/>
        <v>325.9515017281413</v>
      </c>
      <c r="G80" s="132">
        <f t="shared" si="44"/>
        <v>0</v>
      </c>
      <c r="H80" s="132">
        <f t="shared" ref="H80:P80" si="45">H100/1024</f>
        <v>8791.0822091912978</v>
      </c>
      <c r="I80" s="132">
        <f t="shared" si="45"/>
        <v>29.78518386978153</v>
      </c>
      <c r="J80" s="132">
        <f t="shared" si="45"/>
        <v>9332.6586216569885</v>
      </c>
      <c r="K80" s="132">
        <f t="shared" si="45"/>
        <v>19121.102081971556</v>
      </c>
      <c r="L80" s="132">
        <f t="shared" si="45"/>
        <v>2043.2440052018444</v>
      </c>
      <c r="M80" s="132">
        <f t="shared" si="45"/>
        <v>2652.1905676660635</v>
      </c>
      <c r="N80" s="132">
        <f t="shared" si="45"/>
        <v>1079.3364815819752</v>
      </c>
      <c r="O80" s="132">
        <f t="shared" si="45"/>
        <v>4139.5547063332306</v>
      </c>
      <c r="P80" s="132">
        <f t="shared" si="45"/>
        <v>26.975272704018536</v>
      </c>
      <c r="Q80" s="132">
        <f t="shared" ref="Q80" si="46">SUM(D80:P80)</f>
        <v>100629.98426834085</v>
      </c>
    </row>
    <row r="81" spans="3:17" ht="14" x14ac:dyDescent="0.15">
      <c r="C81" s="75" t="s">
        <v>167</v>
      </c>
      <c r="D81" s="132">
        <v>5325.7900261250879</v>
      </c>
      <c r="E81" s="132">
        <v>78999.770487238347</v>
      </c>
      <c r="F81" s="132">
        <v>493.81568473858391</v>
      </c>
      <c r="G81" s="132">
        <v>0.82252045925906669</v>
      </c>
      <c r="H81" s="132">
        <v>13199.778674924022</v>
      </c>
      <c r="I81" s="132">
        <v>29.987305788642473</v>
      </c>
      <c r="J81" s="132">
        <v>26695.945931484617</v>
      </c>
      <c r="K81" s="132">
        <v>14913.204309293022</v>
      </c>
      <c r="L81" s="132">
        <v>12554.571044049933</v>
      </c>
      <c r="M81" s="132">
        <v>1644.2729312570668</v>
      </c>
      <c r="N81" s="132">
        <v>4805.1108017227507</v>
      </c>
      <c r="O81" s="132">
        <v>3222.9995428369325</v>
      </c>
      <c r="P81" s="132">
        <v>51.132992068145491</v>
      </c>
      <c r="Q81" s="132">
        <v>161937.20225198637</v>
      </c>
    </row>
    <row r="82" spans="3:17" ht="14" x14ac:dyDescent="0.15">
      <c r="C82" s="289" t="s">
        <v>209</v>
      </c>
      <c r="D82" s="291">
        <v>21456.394719662607</v>
      </c>
      <c r="E82" s="291">
        <v>86806.466648276764</v>
      </c>
      <c r="F82" s="291">
        <v>1508.5462092773241</v>
      </c>
      <c r="G82" s="291">
        <v>2.0720568393326069</v>
      </c>
      <c r="H82" s="291">
        <v>17779.891098175529</v>
      </c>
      <c r="I82" s="291">
        <v>48.377376769058102</v>
      </c>
      <c r="J82" s="291">
        <v>40832.780262161556</v>
      </c>
      <c r="K82" s="291">
        <v>18806.544330172528</v>
      </c>
      <c r="L82" s="291">
        <v>19040.517111921763</v>
      </c>
      <c r="M82" s="291">
        <v>3590.8465475862404</v>
      </c>
      <c r="N82" s="291">
        <v>2722.0789968397062</v>
      </c>
      <c r="O82" s="291">
        <v>4325.0380257007191</v>
      </c>
      <c r="P82" s="291">
        <v>27.406947322416215</v>
      </c>
      <c r="Q82" s="291">
        <f t="shared" si="41"/>
        <v>216946.96033070557</v>
      </c>
    </row>
    <row r="83" spans="3:17" ht="14" x14ac:dyDescent="0.15">
      <c r="C83" s="34" t="s">
        <v>34</v>
      </c>
    </row>
    <row r="84" spans="3:17" x14ac:dyDescent="0.15">
      <c r="C84" t="s">
        <v>47</v>
      </c>
      <c r="D84" s="221" t="s">
        <v>3</v>
      </c>
      <c r="E84" s="221" t="s">
        <v>4</v>
      </c>
      <c r="F84" s="221" t="s">
        <v>5</v>
      </c>
      <c r="G84" s="221" t="s">
        <v>161</v>
      </c>
      <c r="H84" s="221" t="s">
        <v>6</v>
      </c>
      <c r="I84" s="221" t="s">
        <v>7</v>
      </c>
      <c r="J84" s="222" t="s">
        <v>14</v>
      </c>
      <c r="K84" s="222" t="s">
        <v>114</v>
      </c>
      <c r="L84" s="222" t="s">
        <v>8</v>
      </c>
      <c r="M84" s="222" t="s">
        <v>17</v>
      </c>
      <c r="N84" s="222" t="s">
        <v>9</v>
      </c>
      <c r="O84" s="222" t="s">
        <v>12</v>
      </c>
      <c r="P84" s="222" t="s">
        <v>10</v>
      </c>
      <c r="Q84" s="222" t="s">
        <v>11</v>
      </c>
    </row>
    <row r="85" spans="3:17" ht="14" x14ac:dyDescent="0.15">
      <c r="C85" s="29" t="s">
        <v>59</v>
      </c>
      <c r="D85" s="239"/>
      <c r="E85" s="239"/>
      <c r="F85" s="239"/>
      <c r="G85" s="239"/>
      <c r="H85" s="240">
        <v>74636.73828125</v>
      </c>
      <c r="I85" s="239"/>
      <c r="J85" s="240">
        <v>6806.2060546875</v>
      </c>
      <c r="K85" s="240">
        <v>583302.8837890625</v>
      </c>
      <c r="L85" s="240">
        <v>15643.6005859375</v>
      </c>
      <c r="M85" s="239"/>
      <c r="N85" s="239"/>
      <c r="O85" s="239"/>
      <c r="P85" s="239"/>
      <c r="Q85" s="239">
        <f t="shared" ref="Q85:Q98" si="47">SUM(D85:P85)</f>
        <v>680389.4287109375</v>
      </c>
    </row>
    <row r="86" spans="3:17" ht="14" x14ac:dyDescent="0.15">
      <c r="C86" s="29" t="s">
        <v>37</v>
      </c>
      <c r="D86" s="239">
        <v>171148.77</v>
      </c>
      <c r="E86" s="239">
        <v>16898.89</v>
      </c>
      <c r="F86" s="239"/>
      <c r="G86" s="239"/>
      <c r="H86" s="239">
        <v>310065.69</v>
      </c>
      <c r="I86" s="239">
        <v>12367.14</v>
      </c>
      <c r="J86" s="239">
        <v>458873.96</v>
      </c>
      <c r="K86" s="239">
        <v>833477.8</v>
      </c>
      <c r="L86" s="239">
        <v>83268.550000000017</v>
      </c>
      <c r="M86" s="239">
        <v>62504.770000000004</v>
      </c>
      <c r="N86" s="239">
        <v>753.92</v>
      </c>
      <c r="O86" s="239">
        <v>63665.45</v>
      </c>
      <c r="P86" s="239">
        <v>65.97</v>
      </c>
      <c r="Q86" s="239">
        <f t="shared" si="47"/>
        <v>2013090.91</v>
      </c>
    </row>
    <row r="87" spans="3:17" ht="14" x14ac:dyDescent="0.15">
      <c r="C87" s="29" t="s">
        <v>38</v>
      </c>
      <c r="D87" s="239">
        <v>192427.3913025303</v>
      </c>
      <c r="E87" s="239">
        <v>42989.774121336581</v>
      </c>
      <c r="F87" s="239">
        <v>9421.9062580885056</v>
      </c>
      <c r="G87" s="239"/>
      <c r="H87" s="239">
        <v>499015.44078253623</v>
      </c>
      <c r="I87" s="239">
        <v>8834.6617666799339</v>
      </c>
      <c r="J87" s="239">
        <v>551869.80289949325</v>
      </c>
      <c r="K87" s="239">
        <v>887549.95605001319</v>
      </c>
      <c r="L87" s="239">
        <v>122876.41170906341</v>
      </c>
      <c r="M87" s="241">
        <v>75730.31</v>
      </c>
      <c r="N87" s="239">
        <v>2927.6699196174704</v>
      </c>
      <c r="O87" s="239">
        <v>93544.986292993577</v>
      </c>
      <c r="P87" s="239">
        <v>323.89450921863283</v>
      </c>
      <c r="Q87" s="239">
        <f t="shared" si="47"/>
        <v>2487512.2056115712</v>
      </c>
    </row>
    <row r="88" spans="3:17" ht="14" x14ac:dyDescent="0.15">
      <c r="C88" s="29" t="s">
        <v>39</v>
      </c>
      <c r="D88" s="239">
        <v>238294.72999999998</v>
      </c>
      <c r="E88" s="239">
        <v>2727.3999999999996</v>
      </c>
      <c r="F88" s="239">
        <v>17850.21</v>
      </c>
      <c r="G88" s="239"/>
      <c r="H88" s="239">
        <v>715443.44</v>
      </c>
      <c r="I88" s="239">
        <v>12707.89</v>
      </c>
      <c r="J88" s="239">
        <v>975570.19000000006</v>
      </c>
      <c r="K88" s="239">
        <v>1318277.6599999999</v>
      </c>
      <c r="L88" s="239">
        <v>143534.18</v>
      </c>
      <c r="M88" s="239">
        <v>178018.71</v>
      </c>
      <c r="N88" s="239">
        <v>5111.87</v>
      </c>
      <c r="O88" s="239">
        <v>107439.34999999998</v>
      </c>
      <c r="P88" s="239">
        <v>1463.7700000000002</v>
      </c>
      <c r="Q88" s="239">
        <f t="shared" si="47"/>
        <v>3716439.4</v>
      </c>
    </row>
    <row r="89" spans="3:17" ht="14" x14ac:dyDescent="0.15">
      <c r="C89" s="29" t="s">
        <v>40</v>
      </c>
      <c r="D89" s="239">
        <v>200204.25000000003</v>
      </c>
      <c r="E89" s="239">
        <v>105580.99</v>
      </c>
      <c r="F89" s="239">
        <v>36618.109999999993</v>
      </c>
      <c r="G89" s="239"/>
      <c r="H89" s="239">
        <v>1067471.5699999998</v>
      </c>
      <c r="I89" s="239">
        <v>6081.7700000000013</v>
      </c>
      <c r="J89" s="239">
        <v>1206831.54</v>
      </c>
      <c r="K89" s="239">
        <v>1616274.2099999997</v>
      </c>
      <c r="L89" s="239">
        <v>189578.94999999998</v>
      </c>
      <c r="M89" s="239">
        <v>289769.22000000003</v>
      </c>
      <c r="N89" s="239">
        <v>7334.31</v>
      </c>
      <c r="O89" s="239">
        <v>114517.53</v>
      </c>
      <c r="P89" s="239">
        <v>2954.0599999999995</v>
      </c>
      <c r="Q89" s="239">
        <f t="shared" si="47"/>
        <v>4843216.5099999988</v>
      </c>
    </row>
    <row r="90" spans="3:17" ht="14" x14ac:dyDescent="0.15">
      <c r="C90" s="29" t="s">
        <v>41</v>
      </c>
      <c r="D90" s="239">
        <v>659387.61999999988</v>
      </c>
      <c r="E90" s="239">
        <v>192695.36000000002</v>
      </c>
      <c r="F90" s="239">
        <v>38416.523000000001</v>
      </c>
      <c r="G90" s="239"/>
      <c r="H90" s="239">
        <v>1359528.78</v>
      </c>
      <c r="I90" s="239">
        <v>7458.3000000000011</v>
      </c>
      <c r="J90" s="239">
        <v>1229687.29</v>
      </c>
      <c r="K90" s="239">
        <v>1320748.1500000001</v>
      </c>
      <c r="L90" s="239">
        <v>172379.47</v>
      </c>
      <c r="M90" s="239">
        <v>379378.05</v>
      </c>
      <c r="N90" s="239">
        <v>10403.590000000002</v>
      </c>
      <c r="O90" s="239">
        <v>165499.18</v>
      </c>
      <c r="P90" s="239">
        <v>1506.21</v>
      </c>
      <c r="Q90" s="239">
        <f t="shared" si="47"/>
        <v>5537088.5229999991</v>
      </c>
    </row>
    <row r="91" spans="3:17" ht="14" x14ac:dyDescent="0.15">
      <c r="C91" s="29" t="s">
        <v>42</v>
      </c>
      <c r="D91" s="239">
        <v>639528.84999999986</v>
      </c>
      <c r="E91" s="239">
        <v>83927.34</v>
      </c>
      <c r="F91" s="239">
        <v>49944.06</v>
      </c>
      <c r="G91" s="239"/>
      <c r="H91" s="239">
        <v>1989098.0899999999</v>
      </c>
      <c r="I91" s="239">
        <v>7116.01</v>
      </c>
      <c r="J91" s="239">
        <v>1491115.1</v>
      </c>
      <c r="K91" s="239">
        <v>2130321.9500000002</v>
      </c>
      <c r="L91" s="239">
        <v>184551.9</v>
      </c>
      <c r="M91" s="239">
        <v>513007.35</v>
      </c>
      <c r="N91" s="239">
        <v>16722.34</v>
      </c>
      <c r="O91" s="239">
        <v>237936.61</v>
      </c>
      <c r="P91" s="239">
        <v>2633.76</v>
      </c>
      <c r="Q91" s="239">
        <f t="shared" si="47"/>
        <v>7345903.3599999994</v>
      </c>
    </row>
    <row r="92" spans="3:17" ht="14" x14ac:dyDescent="0.15">
      <c r="C92" s="29" t="s">
        <v>43</v>
      </c>
      <c r="D92" s="239">
        <v>1120560.01</v>
      </c>
      <c r="E92" s="239">
        <v>358370.68000000005</v>
      </c>
      <c r="F92" s="239">
        <v>74073.197000000015</v>
      </c>
      <c r="G92" s="239"/>
      <c r="H92" s="239">
        <v>1813149.79</v>
      </c>
      <c r="I92" s="239">
        <v>9196.6999999999989</v>
      </c>
      <c r="J92" s="239">
        <v>2184136.89</v>
      </c>
      <c r="K92" s="239">
        <v>3118908.0200000005</v>
      </c>
      <c r="L92" s="239">
        <v>173956.49000000002</v>
      </c>
      <c r="M92" s="239">
        <v>414166.39</v>
      </c>
      <c r="N92" s="239">
        <v>22027.02</v>
      </c>
      <c r="O92" s="239">
        <v>212078.38</v>
      </c>
      <c r="P92" s="239">
        <v>2785.64</v>
      </c>
      <c r="Q92" s="239">
        <f t="shared" si="47"/>
        <v>9503409.2070000023</v>
      </c>
    </row>
    <row r="93" spans="3:17" ht="14" x14ac:dyDescent="0.15">
      <c r="C93" s="29" t="s">
        <v>45</v>
      </c>
      <c r="D93" s="239">
        <v>1169772.6450259301</v>
      </c>
      <c r="E93" s="239">
        <v>194227.79925596766</v>
      </c>
      <c r="F93" s="239">
        <v>95914.934808184262</v>
      </c>
      <c r="G93" s="239"/>
      <c r="H93" s="239">
        <v>2121130.7309979675</v>
      </c>
      <c r="I93" s="239">
        <v>16518.015655036972</v>
      </c>
      <c r="J93" s="239">
        <v>1844463.757051202</v>
      </c>
      <c r="K93" s="239">
        <v>4010735.7011296633</v>
      </c>
      <c r="L93" s="239">
        <v>206429.1361523227</v>
      </c>
      <c r="M93" s="239">
        <v>1219615.5700616012</v>
      </c>
      <c r="N93" s="239">
        <v>20917.556063422882</v>
      </c>
      <c r="O93" s="239">
        <v>308209.02995402575</v>
      </c>
      <c r="P93" s="239">
        <v>1712.6881670486139</v>
      </c>
      <c r="Q93" s="239">
        <f t="shared" si="47"/>
        <v>11209647.564322375</v>
      </c>
    </row>
    <row r="94" spans="3:17" ht="14" x14ac:dyDescent="0.15">
      <c r="C94" s="29" t="s">
        <v>72</v>
      </c>
      <c r="D94" s="239">
        <v>1346742.5127815895</v>
      </c>
      <c r="E94" s="239">
        <v>640960.80269531254</v>
      </c>
      <c r="F94" s="239">
        <v>146453.33847165608</v>
      </c>
      <c r="G94" s="239"/>
      <c r="H94" s="239">
        <v>4156382.0413647727</v>
      </c>
      <c r="I94" s="239">
        <v>9056.5801315298122</v>
      </c>
      <c r="J94" s="239">
        <v>2561050.5178091037</v>
      </c>
      <c r="K94" s="239">
        <v>3005993.5613099849</v>
      </c>
      <c r="L94" s="239">
        <v>269296.28953407169</v>
      </c>
      <c r="M94" s="239">
        <v>1515010.7268973882</v>
      </c>
      <c r="N94" s="239">
        <v>73373.747861635624</v>
      </c>
      <c r="O94" s="239">
        <v>492830.96651006164</v>
      </c>
      <c r="P94" s="239">
        <v>2954.594968353395</v>
      </c>
      <c r="Q94" s="239">
        <f t="shared" si="47"/>
        <v>14220105.680335457</v>
      </c>
    </row>
    <row r="95" spans="3:17" ht="14" x14ac:dyDescent="0.15">
      <c r="C95" s="29" t="s">
        <v>84</v>
      </c>
      <c r="D95" s="239">
        <v>2435410.0141211729</v>
      </c>
      <c r="E95" s="239">
        <v>1452589.5432187058</v>
      </c>
      <c r="F95" s="239">
        <v>155205.19647949221</v>
      </c>
      <c r="G95" s="239"/>
      <c r="H95" s="239">
        <v>5762352.0422841655</v>
      </c>
      <c r="I95" s="239">
        <v>21085.29047321339</v>
      </c>
      <c r="J95" s="239">
        <v>4357758.1103497911</v>
      </c>
      <c r="K95" s="239">
        <v>2213193.2911165841</v>
      </c>
      <c r="L95" s="239">
        <v>392855.5562496208</v>
      </c>
      <c r="M95" s="239">
        <v>1421849.631792658</v>
      </c>
      <c r="N95" s="239">
        <v>173130.93912876537</v>
      </c>
      <c r="O95" s="239">
        <v>560837.90863015526</v>
      </c>
      <c r="P95" s="239">
        <v>6087.4454651093056</v>
      </c>
      <c r="Q95" s="239">
        <f t="shared" si="47"/>
        <v>18952354.969309434</v>
      </c>
    </row>
    <row r="96" spans="3:17" ht="14" x14ac:dyDescent="0.15">
      <c r="C96" s="29" t="s">
        <v>91</v>
      </c>
      <c r="D96" s="239">
        <v>2368572.2017557849</v>
      </c>
      <c r="E96" s="239">
        <v>4879524.97160511</v>
      </c>
      <c r="F96" s="239">
        <v>209055.22918536549</v>
      </c>
      <c r="G96" s="239"/>
      <c r="H96" s="239">
        <v>5154876.2750210743</v>
      </c>
      <c r="I96" s="239">
        <v>12894.169767086356</v>
      </c>
      <c r="J96" s="239">
        <v>4702185.8300771713</v>
      </c>
      <c r="K96" s="239">
        <v>3898850.7897699862</v>
      </c>
      <c r="L96" s="239">
        <v>555418.00718163908</v>
      </c>
      <c r="M96" s="239">
        <v>1307893.5442654747</v>
      </c>
      <c r="N96" s="239">
        <v>378875.24728697492</v>
      </c>
      <c r="O96" s="239">
        <v>589034.2741270262</v>
      </c>
      <c r="P96" s="239">
        <v>8745.6102505996769</v>
      </c>
      <c r="Q96" s="239">
        <f t="shared" si="47"/>
        <v>24065926.150293294</v>
      </c>
    </row>
    <row r="97" spans="2:18" ht="14" x14ac:dyDescent="0.15">
      <c r="C97" s="29" t="s">
        <v>115</v>
      </c>
      <c r="D97" s="239">
        <v>3218045.8141598995</v>
      </c>
      <c r="E97" s="239">
        <v>7216073.3695083205</v>
      </c>
      <c r="F97" s="239">
        <v>253346.68169746129</v>
      </c>
      <c r="G97" s="239"/>
      <c r="H97" s="239">
        <v>5744216.3782581883</v>
      </c>
      <c r="I97" s="239">
        <v>26867.165716428259</v>
      </c>
      <c r="J97" s="239">
        <v>8043254.8223868459</v>
      </c>
      <c r="K97" s="239">
        <v>9863018.7807718869</v>
      </c>
      <c r="L97" s="239">
        <v>759748.52332150447</v>
      </c>
      <c r="M97" s="239">
        <v>1453318.6858325216</v>
      </c>
      <c r="N97" s="239">
        <v>342714.94170113513</v>
      </c>
      <c r="O97" s="239">
        <v>622761.88325008587</v>
      </c>
      <c r="P97" s="239">
        <v>13551.376443630983</v>
      </c>
      <c r="Q97" s="239">
        <f t="shared" si="47"/>
        <v>37556918.423047915</v>
      </c>
    </row>
    <row r="98" spans="2:18" ht="14" x14ac:dyDescent="0.15">
      <c r="C98" s="75" t="s">
        <v>143</v>
      </c>
      <c r="D98" s="239">
        <v>2485598.8107579937</v>
      </c>
      <c r="E98" s="239">
        <v>15851511.776406366</v>
      </c>
      <c r="F98" s="239">
        <v>365037.18955780315</v>
      </c>
      <c r="G98" s="239"/>
      <c r="H98" s="239">
        <v>7371500.4706396861</v>
      </c>
      <c r="I98" s="239">
        <v>16152.688020402522</v>
      </c>
      <c r="J98" s="239">
        <v>4398772.1366599649</v>
      </c>
      <c r="K98" s="239">
        <v>9710388.7621720247</v>
      </c>
      <c r="L98" s="239">
        <v>1425084.5096584379</v>
      </c>
      <c r="M98" s="239">
        <v>2312290.5213847561</v>
      </c>
      <c r="N98" s="239">
        <v>282246.29844542232</v>
      </c>
      <c r="O98" s="239">
        <v>969099.65196193545</v>
      </c>
      <c r="P98" s="239">
        <v>15008.497903085248</v>
      </c>
      <c r="Q98" s="239">
        <f t="shared" si="47"/>
        <v>45202691.313567884</v>
      </c>
    </row>
    <row r="99" spans="2:18" ht="14" x14ac:dyDescent="0.15">
      <c r="C99" s="75" t="s">
        <v>147</v>
      </c>
      <c r="D99" s="239">
        <v>3240283.3283849838</v>
      </c>
      <c r="E99" s="239">
        <v>26806350.648468114</v>
      </c>
      <c r="F99" s="239">
        <v>282656.32190385414</v>
      </c>
      <c r="G99" s="239"/>
      <c r="H99" s="239">
        <v>8393049.8084751815</v>
      </c>
      <c r="I99" s="239">
        <v>15829.07649656847</v>
      </c>
      <c r="J99" s="239">
        <v>5697099.6770414524</v>
      </c>
      <c r="K99" s="239">
        <v>11212294.099668976</v>
      </c>
      <c r="L99" s="239">
        <v>1702669.7063952731</v>
      </c>
      <c r="M99" s="239">
        <v>2122215.889732155</v>
      </c>
      <c r="N99" s="239">
        <v>597817.51074510557</v>
      </c>
      <c r="O99" s="239">
        <v>1481475.0944903705</v>
      </c>
      <c r="P99" s="239">
        <v>19013.412502899708</v>
      </c>
      <c r="Q99" s="239">
        <v>61570754.574304953</v>
      </c>
    </row>
    <row r="100" spans="2:18" ht="14" x14ac:dyDescent="0.15">
      <c r="C100" s="75" t="s">
        <v>159</v>
      </c>
      <c r="D100" s="239">
        <v>3768052.9483698406</v>
      </c>
      <c r="E100" s="239">
        <v>50594165.175340548</v>
      </c>
      <c r="F100" s="239">
        <v>333774.33776961669</v>
      </c>
      <c r="G100" s="239"/>
      <c r="H100" s="239">
        <v>9002068.182211889</v>
      </c>
      <c r="I100" s="239">
        <v>30500.028282656287</v>
      </c>
      <c r="J100" s="239">
        <v>9556642.4285767563</v>
      </c>
      <c r="K100" s="239">
        <v>19580008.531938873</v>
      </c>
      <c r="L100" s="239">
        <v>2092281.8613266887</v>
      </c>
      <c r="M100" s="239">
        <v>2715843.1412900491</v>
      </c>
      <c r="N100" s="239">
        <v>1105240.5571399427</v>
      </c>
      <c r="O100" s="239">
        <v>4238904.0192852281</v>
      </c>
      <c r="P100" s="239">
        <v>27622.679248914981</v>
      </c>
      <c r="Q100" s="132">
        <f t="shared" ref="Q100:Q102" si="48">SUM(D100:P100)</f>
        <v>103045103.89078103</v>
      </c>
    </row>
    <row r="101" spans="2:18" ht="14" x14ac:dyDescent="0.15">
      <c r="C101" s="75" t="s">
        <v>162</v>
      </c>
      <c r="D101" s="239">
        <v>3415906.4933786876</v>
      </c>
      <c r="E101" s="239">
        <v>64626518.229391001</v>
      </c>
      <c r="F101" s="239">
        <v>394572.36039247678</v>
      </c>
      <c r="G101" s="239">
        <v>9.4930854551493997</v>
      </c>
      <c r="H101" s="239">
        <v>11176526.166650925</v>
      </c>
      <c r="I101" s="239">
        <v>19565.34490153375</v>
      </c>
      <c r="J101" s="239">
        <v>12604531.488732623</v>
      </c>
      <c r="K101" s="239">
        <v>13111712.79319994</v>
      </c>
      <c r="L101" s="239">
        <v>3749785.6515355236</v>
      </c>
      <c r="M101" s="239">
        <v>2975008.7542886697</v>
      </c>
      <c r="N101" s="239">
        <v>1336989.6346340869</v>
      </c>
      <c r="O101" s="239">
        <v>1739285.445323362</v>
      </c>
      <c r="P101" s="239">
        <v>33703.463331770094</v>
      </c>
      <c r="Q101" s="132">
        <f t="shared" si="48"/>
        <v>115184115.31884608</v>
      </c>
    </row>
    <row r="102" spans="2:18" ht="14" x14ac:dyDescent="0.15">
      <c r="C102" s="75" t="s">
        <v>167</v>
      </c>
      <c r="D102" s="239">
        <v>5453608.98675209</v>
      </c>
      <c r="E102" s="239">
        <v>80895764.978932068</v>
      </c>
      <c r="F102" s="239">
        <v>505667.26117230993</v>
      </c>
      <c r="G102" s="239">
        <v>842.26095028128429</v>
      </c>
      <c r="H102" s="239">
        <v>13516573.363122199</v>
      </c>
      <c r="I102" s="239">
        <v>30707.001127569893</v>
      </c>
      <c r="J102" s="239">
        <v>27336648.633840248</v>
      </c>
      <c r="K102" s="239">
        <v>15271121.212716054</v>
      </c>
      <c r="L102" s="239">
        <v>12855880.749107132</v>
      </c>
      <c r="M102" s="239">
        <v>1683735.4816072364</v>
      </c>
      <c r="N102" s="239">
        <v>4920433.4609640967</v>
      </c>
      <c r="O102" s="239">
        <v>3300351.5318650189</v>
      </c>
      <c r="P102" s="239">
        <v>52360.183877780983</v>
      </c>
      <c r="Q102" s="132">
        <f t="shared" si="48"/>
        <v>165823695.10603404</v>
      </c>
    </row>
    <row r="103" spans="2:18" ht="14" x14ac:dyDescent="0.15">
      <c r="B103" s="256"/>
      <c r="C103" s="289" t="s">
        <v>209</v>
      </c>
      <c r="D103" s="291">
        <v>21971348.192934509</v>
      </c>
      <c r="E103" s="291">
        <v>88889821.847835407</v>
      </c>
      <c r="F103" s="291">
        <v>1544751.3182999799</v>
      </c>
      <c r="G103" s="291">
        <v>2121.7862034765894</v>
      </c>
      <c r="H103" s="291">
        <v>18206608.484531742</v>
      </c>
      <c r="I103" s="291">
        <v>49538.433811515497</v>
      </c>
      <c r="J103" s="291">
        <v>41812766.988453433</v>
      </c>
      <c r="K103" s="291">
        <v>19257901.394096669</v>
      </c>
      <c r="L103" s="291">
        <v>19497489.522607885</v>
      </c>
      <c r="M103" s="291">
        <v>3677026.8647283101</v>
      </c>
      <c r="N103" s="291">
        <v>2787408.8927638591</v>
      </c>
      <c r="O103" s="291">
        <v>4428838.9383175364</v>
      </c>
      <c r="P103" s="291">
        <v>28064.714058154204</v>
      </c>
      <c r="Q103" s="291">
        <f>SUM(D103:P103)</f>
        <v>222153687.3786425</v>
      </c>
    </row>
    <row r="104" spans="2:18" x14ac:dyDescent="0.15">
      <c r="R104" s="255"/>
    </row>
    <row r="107" spans="2:18" x14ac:dyDescent="0.15">
      <c r="C107" s="256"/>
      <c r="D107" s="256"/>
      <c r="E107" s="256"/>
      <c r="F107" s="256"/>
      <c r="G107" s="256"/>
      <c r="H107" s="256"/>
      <c r="I107" s="256"/>
      <c r="J107" s="256"/>
      <c r="K107" s="256"/>
      <c r="L107" s="256"/>
      <c r="M107" s="256"/>
      <c r="N107" s="256"/>
    </row>
    <row r="108" spans="2:18" x14ac:dyDescent="0.15">
      <c r="F108" s="255"/>
      <c r="G108" s="255"/>
      <c r="H108" s="255"/>
      <c r="I108" s="255"/>
      <c r="J108" s="255"/>
      <c r="K108" s="255"/>
      <c r="L108" s="255"/>
      <c r="M108" s="255"/>
      <c r="N108" s="255"/>
      <c r="O108" s="255"/>
      <c r="P108" s="255"/>
      <c r="Q108" s="255"/>
    </row>
  </sheetData>
  <mergeCells count="1">
    <mergeCell ref="C1:P1"/>
  </mergeCells>
  <phoneticPr fontId="27" type="noConversion"/>
  <pageMargins left="0.75" right="0.75" top="1" bottom="1" header="0.5" footer="0.5"/>
  <pageSetup scale="75"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L328"/>
  <sheetViews>
    <sheetView zoomScale="160" zoomScaleNormal="160" workbookViewId="0">
      <selection activeCell="B328" sqref="B328:D328"/>
    </sheetView>
  </sheetViews>
  <sheetFormatPr baseColWidth="10" defaultColWidth="8.83203125" defaultRowHeight="13" x14ac:dyDescent="0.15"/>
  <cols>
    <col min="1" max="1" width="8.83203125" style="67"/>
    <col min="2" max="2" width="12.6640625" style="67" customWidth="1"/>
    <col min="3" max="3" width="12.1640625" style="67" customWidth="1"/>
    <col min="4" max="4" width="11.5" style="67" customWidth="1"/>
    <col min="5" max="5" width="12.33203125" style="67" customWidth="1"/>
    <col min="6" max="6" width="11.5" style="67" customWidth="1"/>
    <col min="7" max="8" width="8.83203125" style="67"/>
    <col min="9" max="9" width="11.1640625" style="67" bestFit="1" customWidth="1"/>
    <col min="10" max="23" width="8.83203125" style="67"/>
    <col min="24" max="24" width="12.1640625" style="67" bestFit="1" customWidth="1"/>
    <col min="25" max="235" width="8.83203125" style="67"/>
    <col min="236" max="236" width="14.5" style="67" customWidth="1"/>
    <col min="237" max="237" width="16.5" style="67" customWidth="1"/>
    <col min="238" max="238" width="14.5" style="67" customWidth="1"/>
    <col min="239" max="241" width="8.83203125" style="67"/>
    <col min="242" max="242" width="10.33203125" style="67" bestFit="1" customWidth="1"/>
    <col min="243" max="243" width="10.1640625" style="67" customWidth="1"/>
    <col min="244" max="244" width="11.5" style="67" customWidth="1"/>
    <col min="245" max="245" width="11" style="67" customWidth="1"/>
    <col min="246" max="246" width="6.33203125" style="67" customWidth="1"/>
    <col min="247" max="247" width="11.33203125" style="67" customWidth="1"/>
    <col min="248" max="248" width="14.6640625" style="67" bestFit="1" customWidth="1"/>
    <col min="249" max="491" width="8.83203125" style="67"/>
    <col min="492" max="492" width="14.5" style="67" customWidth="1"/>
    <col min="493" max="493" width="16.5" style="67" customWidth="1"/>
    <col min="494" max="494" width="14.5" style="67" customWidth="1"/>
    <col min="495" max="497" width="8.83203125" style="67"/>
    <col min="498" max="498" width="10.33203125" style="67" bestFit="1" customWidth="1"/>
    <col min="499" max="499" width="10.1640625" style="67" customWidth="1"/>
    <col min="500" max="500" width="11.5" style="67" customWidth="1"/>
    <col min="501" max="501" width="11" style="67" customWidth="1"/>
    <col min="502" max="502" width="6.33203125" style="67" customWidth="1"/>
    <col min="503" max="503" width="11.33203125" style="67" customWidth="1"/>
    <col min="504" max="504" width="14.6640625" style="67" bestFit="1" customWidth="1"/>
    <col min="505" max="747" width="8.83203125" style="67"/>
    <col min="748" max="748" width="14.5" style="67" customWidth="1"/>
    <col min="749" max="749" width="16.5" style="67" customWidth="1"/>
    <col min="750" max="750" width="14.5" style="67" customWidth="1"/>
    <col min="751" max="753" width="8.83203125" style="67"/>
    <col min="754" max="754" width="10.33203125" style="67" bestFit="1" customWidth="1"/>
    <col min="755" max="755" width="10.1640625" style="67" customWidth="1"/>
    <col min="756" max="756" width="11.5" style="67" customWidth="1"/>
    <col min="757" max="757" width="11" style="67" customWidth="1"/>
    <col min="758" max="758" width="6.33203125" style="67" customWidth="1"/>
    <col min="759" max="759" width="11.33203125" style="67" customWidth="1"/>
    <col min="760" max="760" width="14.6640625" style="67" bestFit="1" customWidth="1"/>
    <col min="761" max="1003" width="8.83203125" style="67"/>
    <col min="1004" max="1004" width="14.5" style="67" customWidth="1"/>
    <col min="1005" max="1005" width="16.5" style="67" customWidth="1"/>
    <col min="1006" max="1006" width="14.5" style="67" customWidth="1"/>
    <col min="1007" max="1009" width="8.83203125" style="67"/>
    <col min="1010" max="1010" width="10.33203125" style="67" bestFit="1" customWidth="1"/>
    <col min="1011" max="1011" width="10.1640625" style="67" customWidth="1"/>
    <col min="1012" max="1012" width="11.5" style="67" customWidth="1"/>
    <col min="1013" max="1013" width="11" style="67" customWidth="1"/>
    <col min="1014" max="1014" width="6.33203125" style="67" customWidth="1"/>
    <col min="1015" max="1015" width="11.33203125" style="67" customWidth="1"/>
    <col min="1016" max="1016" width="14.6640625" style="67" bestFit="1" customWidth="1"/>
    <col min="1017" max="1259" width="8.83203125" style="67"/>
    <col min="1260" max="1260" width="14.5" style="67" customWidth="1"/>
    <col min="1261" max="1261" width="16.5" style="67" customWidth="1"/>
    <col min="1262" max="1262" width="14.5" style="67" customWidth="1"/>
    <col min="1263" max="1265" width="8.83203125" style="67"/>
    <col min="1266" max="1266" width="10.33203125" style="67" bestFit="1" customWidth="1"/>
    <col min="1267" max="1267" width="10.1640625" style="67" customWidth="1"/>
    <col min="1268" max="1268" width="11.5" style="67" customWidth="1"/>
    <col min="1269" max="1269" width="11" style="67" customWidth="1"/>
    <col min="1270" max="1270" width="6.33203125" style="67" customWidth="1"/>
    <col min="1271" max="1271" width="11.33203125" style="67" customWidth="1"/>
    <col min="1272" max="1272" width="14.6640625" style="67" bestFit="1" customWidth="1"/>
    <col min="1273" max="1515" width="8.83203125" style="67"/>
    <col min="1516" max="1516" width="14.5" style="67" customWidth="1"/>
    <col min="1517" max="1517" width="16.5" style="67" customWidth="1"/>
    <col min="1518" max="1518" width="14.5" style="67" customWidth="1"/>
    <col min="1519" max="1521" width="8.83203125" style="67"/>
    <col min="1522" max="1522" width="10.33203125" style="67" bestFit="1" customWidth="1"/>
    <col min="1523" max="1523" width="10.1640625" style="67" customWidth="1"/>
    <col min="1524" max="1524" width="11.5" style="67" customWidth="1"/>
    <col min="1525" max="1525" width="11" style="67" customWidth="1"/>
    <col min="1526" max="1526" width="6.33203125" style="67" customWidth="1"/>
    <col min="1527" max="1527" width="11.33203125" style="67" customWidth="1"/>
    <col min="1528" max="1528" width="14.6640625" style="67" bestFit="1" customWidth="1"/>
    <col min="1529" max="1771" width="8.83203125" style="67"/>
    <col min="1772" max="1772" width="14.5" style="67" customWidth="1"/>
    <col min="1773" max="1773" width="16.5" style="67" customWidth="1"/>
    <col min="1774" max="1774" width="14.5" style="67" customWidth="1"/>
    <col min="1775" max="1777" width="8.83203125" style="67"/>
    <col min="1778" max="1778" width="10.33203125" style="67" bestFit="1" customWidth="1"/>
    <col min="1779" max="1779" width="10.1640625" style="67" customWidth="1"/>
    <col min="1780" max="1780" width="11.5" style="67" customWidth="1"/>
    <col min="1781" max="1781" width="11" style="67" customWidth="1"/>
    <col min="1782" max="1782" width="6.33203125" style="67" customWidth="1"/>
    <col min="1783" max="1783" width="11.33203125" style="67" customWidth="1"/>
    <col min="1784" max="1784" width="14.6640625" style="67" bestFit="1" customWidth="1"/>
    <col min="1785" max="2027" width="8.83203125" style="67"/>
    <col min="2028" max="2028" width="14.5" style="67" customWidth="1"/>
    <col min="2029" max="2029" width="16.5" style="67" customWidth="1"/>
    <col min="2030" max="2030" width="14.5" style="67" customWidth="1"/>
    <col min="2031" max="2033" width="8.83203125" style="67"/>
    <col min="2034" max="2034" width="10.33203125" style="67" bestFit="1" customWidth="1"/>
    <col min="2035" max="2035" width="10.1640625" style="67" customWidth="1"/>
    <col min="2036" max="2036" width="11.5" style="67" customWidth="1"/>
    <col min="2037" max="2037" width="11" style="67" customWidth="1"/>
    <col min="2038" max="2038" width="6.33203125" style="67" customWidth="1"/>
    <col min="2039" max="2039" width="11.33203125" style="67" customWidth="1"/>
    <col min="2040" max="2040" width="14.6640625" style="67" bestFit="1" customWidth="1"/>
    <col min="2041" max="2283" width="8.83203125" style="67"/>
    <col min="2284" max="2284" width="14.5" style="67" customWidth="1"/>
    <col min="2285" max="2285" width="16.5" style="67" customWidth="1"/>
    <col min="2286" max="2286" width="14.5" style="67" customWidth="1"/>
    <col min="2287" max="2289" width="8.83203125" style="67"/>
    <col min="2290" max="2290" width="10.33203125" style="67" bestFit="1" customWidth="1"/>
    <col min="2291" max="2291" width="10.1640625" style="67" customWidth="1"/>
    <col min="2292" max="2292" width="11.5" style="67" customWidth="1"/>
    <col min="2293" max="2293" width="11" style="67" customWidth="1"/>
    <col min="2294" max="2294" width="6.33203125" style="67" customWidth="1"/>
    <col min="2295" max="2295" width="11.33203125" style="67" customWidth="1"/>
    <col min="2296" max="2296" width="14.6640625" style="67" bestFit="1" customWidth="1"/>
    <col min="2297" max="2539" width="8.83203125" style="67"/>
    <col min="2540" max="2540" width="14.5" style="67" customWidth="1"/>
    <col min="2541" max="2541" width="16.5" style="67" customWidth="1"/>
    <col min="2542" max="2542" width="14.5" style="67" customWidth="1"/>
    <col min="2543" max="2545" width="8.83203125" style="67"/>
    <col min="2546" max="2546" width="10.33203125" style="67" bestFit="1" customWidth="1"/>
    <col min="2547" max="2547" width="10.1640625" style="67" customWidth="1"/>
    <col min="2548" max="2548" width="11.5" style="67" customWidth="1"/>
    <col min="2549" max="2549" width="11" style="67" customWidth="1"/>
    <col min="2550" max="2550" width="6.33203125" style="67" customWidth="1"/>
    <col min="2551" max="2551" width="11.33203125" style="67" customWidth="1"/>
    <col min="2552" max="2552" width="14.6640625" style="67" bestFit="1" customWidth="1"/>
    <col min="2553" max="2795" width="8.83203125" style="67"/>
    <col min="2796" max="2796" width="14.5" style="67" customWidth="1"/>
    <col min="2797" max="2797" width="16.5" style="67" customWidth="1"/>
    <col min="2798" max="2798" width="14.5" style="67" customWidth="1"/>
    <col min="2799" max="2801" width="8.83203125" style="67"/>
    <col min="2802" max="2802" width="10.33203125" style="67" bestFit="1" customWidth="1"/>
    <col min="2803" max="2803" width="10.1640625" style="67" customWidth="1"/>
    <col min="2804" max="2804" width="11.5" style="67" customWidth="1"/>
    <col min="2805" max="2805" width="11" style="67" customWidth="1"/>
    <col min="2806" max="2806" width="6.33203125" style="67" customWidth="1"/>
    <col min="2807" max="2807" width="11.33203125" style="67" customWidth="1"/>
    <col min="2808" max="2808" width="14.6640625" style="67" bestFit="1" customWidth="1"/>
    <col min="2809" max="3051" width="8.83203125" style="67"/>
    <col min="3052" max="3052" width="14.5" style="67" customWidth="1"/>
    <col min="3053" max="3053" width="16.5" style="67" customWidth="1"/>
    <col min="3054" max="3054" width="14.5" style="67" customWidth="1"/>
    <col min="3055" max="3057" width="8.83203125" style="67"/>
    <col min="3058" max="3058" width="10.33203125" style="67" bestFit="1" customWidth="1"/>
    <col min="3059" max="3059" width="10.1640625" style="67" customWidth="1"/>
    <col min="3060" max="3060" width="11.5" style="67" customWidth="1"/>
    <col min="3061" max="3061" width="11" style="67" customWidth="1"/>
    <col min="3062" max="3062" width="6.33203125" style="67" customWidth="1"/>
    <col min="3063" max="3063" width="11.33203125" style="67" customWidth="1"/>
    <col min="3064" max="3064" width="14.6640625" style="67" bestFit="1" customWidth="1"/>
    <col min="3065" max="3307" width="8.83203125" style="67"/>
    <col min="3308" max="3308" width="14.5" style="67" customWidth="1"/>
    <col min="3309" max="3309" width="16.5" style="67" customWidth="1"/>
    <col min="3310" max="3310" width="14.5" style="67" customWidth="1"/>
    <col min="3311" max="3313" width="8.83203125" style="67"/>
    <col min="3314" max="3314" width="10.33203125" style="67" bestFit="1" customWidth="1"/>
    <col min="3315" max="3315" width="10.1640625" style="67" customWidth="1"/>
    <col min="3316" max="3316" width="11.5" style="67" customWidth="1"/>
    <col min="3317" max="3317" width="11" style="67" customWidth="1"/>
    <col min="3318" max="3318" width="6.33203125" style="67" customWidth="1"/>
    <col min="3319" max="3319" width="11.33203125" style="67" customWidth="1"/>
    <col min="3320" max="3320" width="14.6640625" style="67" bestFit="1" customWidth="1"/>
    <col min="3321" max="3563" width="8.83203125" style="67"/>
    <col min="3564" max="3564" width="14.5" style="67" customWidth="1"/>
    <col min="3565" max="3565" width="16.5" style="67" customWidth="1"/>
    <col min="3566" max="3566" width="14.5" style="67" customWidth="1"/>
    <col min="3567" max="3569" width="8.83203125" style="67"/>
    <col min="3570" max="3570" width="10.33203125" style="67" bestFit="1" customWidth="1"/>
    <col min="3571" max="3571" width="10.1640625" style="67" customWidth="1"/>
    <col min="3572" max="3572" width="11.5" style="67" customWidth="1"/>
    <col min="3573" max="3573" width="11" style="67" customWidth="1"/>
    <col min="3574" max="3574" width="6.33203125" style="67" customWidth="1"/>
    <col min="3575" max="3575" width="11.33203125" style="67" customWidth="1"/>
    <col min="3576" max="3576" width="14.6640625" style="67" bestFit="1" customWidth="1"/>
    <col min="3577" max="3819" width="8.83203125" style="67"/>
    <col min="3820" max="3820" width="14.5" style="67" customWidth="1"/>
    <col min="3821" max="3821" width="16.5" style="67" customWidth="1"/>
    <col min="3822" max="3822" width="14.5" style="67" customWidth="1"/>
    <col min="3823" max="3825" width="8.83203125" style="67"/>
    <col min="3826" max="3826" width="10.33203125" style="67" bestFit="1" customWidth="1"/>
    <col min="3827" max="3827" width="10.1640625" style="67" customWidth="1"/>
    <col min="3828" max="3828" width="11.5" style="67" customWidth="1"/>
    <col min="3829" max="3829" width="11" style="67" customWidth="1"/>
    <col min="3830" max="3830" width="6.33203125" style="67" customWidth="1"/>
    <col min="3831" max="3831" width="11.33203125" style="67" customWidth="1"/>
    <col min="3832" max="3832" width="14.6640625" style="67" bestFit="1" customWidth="1"/>
    <col min="3833" max="4075" width="8.83203125" style="67"/>
    <col min="4076" max="4076" width="14.5" style="67" customWidth="1"/>
    <col min="4077" max="4077" width="16.5" style="67" customWidth="1"/>
    <col min="4078" max="4078" width="14.5" style="67" customWidth="1"/>
    <col min="4079" max="4081" width="8.83203125" style="67"/>
    <col min="4082" max="4082" width="10.33203125" style="67" bestFit="1" customWidth="1"/>
    <col min="4083" max="4083" width="10.1640625" style="67" customWidth="1"/>
    <col min="4084" max="4084" width="11.5" style="67" customWidth="1"/>
    <col min="4085" max="4085" width="11" style="67" customWidth="1"/>
    <col min="4086" max="4086" width="6.33203125" style="67" customWidth="1"/>
    <col min="4087" max="4087" width="11.33203125" style="67" customWidth="1"/>
    <col min="4088" max="4088" width="14.6640625" style="67" bestFit="1" customWidth="1"/>
    <col min="4089" max="4331" width="8.83203125" style="67"/>
    <col min="4332" max="4332" width="14.5" style="67" customWidth="1"/>
    <col min="4333" max="4333" width="16.5" style="67" customWidth="1"/>
    <col min="4334" max="4334" width="14.5" style="67" customWidth="1"/>
    <col min="4335" max="4337" width="8.83203125" style="67"/>
    <col min="4338" max="4338" width="10.33203125" style="67" bestFit="1" customWidth="1"/>
    <col min="4339" max="4339" width="10.1640625" style="67" customWidth="1"/>
    <col min="4340" max="4340" width="11.5" style="67" customWidth="1"/>
    <col min="4341" max="4341" width="11" style="67" customWidth="1"/>
    <col min="4342" max="4342" width="6.33203125" style="67" customWidth="1"/>
    <col min="4343" max="4343" width="11.33203125" style="67" customWidth="1"/>
    <col min="4344" max="4344" width="14.6640625" style="67" bestFit="1" customWidth="1"/>
    <col min="4345" max="4587" width="8.83203125" style="67"/>
    <col min="4588" max="4588" width="14.5" style="67" customWidth="1"/>
    <col min="4589" max="4589" width="16.5" style="67" customWidth="1"/>
    <col min="4590" max="4590" width="14.5" style="67" customWidth="1"/>
    <col min="4591" max="4593" width="8.83203125" style="67"/>
    <col min="4594" max="4594" width="10.33203125" style="67" bestFit="1" customWidth="1"/>
    <col min="4595" max="4595" width="10.1640625" style="67" customWidth="1"/>
    <col min="4596" max="4596" width="11.5" style="67" customWidth="1"/>
    <col min="4597" max="4597" width="11" style="67" customWidth="1"/>
    <col min="4598" max="4598" width="6.33203125" style="67" customWidth="1"/>
    <col min="4599" max="4599" width="11.33203125" style="67" customWidth="1"/>
    <col min="4600" max="4600" width="14.6640625" style="67" bestFit="1" customWidth="1"/>
    <col min="4601" max="4843" width="8.83203125" style="67"/>
    <col min="4844" max="4844" width="14.5" style="67" customWidth="1"/>
    <col min="4845" max="4845" width="16.5" style="67" customWidth="1"/>
    <col min="4846" max="4846" width="14.5" style="67" customWidth="1"/>
    <col min="4847" max="4849" width="8.83203125" style="67"/>
    <col min="4850" max="4850" width="10.33203125" style="67" bestFit="1" customWidth="1"/>
    <col min="4851" max="4851" width="10.1640625" style="67" customWidth="1"/>
    <col min="4852" max="4852" width="11.5" style="67" customWidth="1"/>
    <col min="4853" max="4853" width="11" style="67" customWidth="1"/>
    <col min="4854" max="4854" width="6.33203125" style="67" customWidth="1"/>
    <col min="4855" max="4855" width="11.33203125" style="67" customWidth="1"/>
    <col min="4856" max="4856" width="14.6640625" style="67" bestFit="1" customWidth="1"/>
    <col min="4857" max="5099" width="8.83203125" style="67"/>
    <col min="5100" max="5100" width="14.5" style="67" customWidth="1"/>
    <col min="5101" max="5101" width="16.5" style="67" customWidth="1"/>
    <col min="5102" max="5102" width="14.5" style="67" customWidth="1"/>
    <col min="5103" max="5105" width="8.83203125" style="67"/>
    <col min="5106" max="5106" width="10.33203125" style="67" bestFit="1" customWidth="1"/>
    <col min="5107" max="5107" width="10.1640625" style="67" customWidth="1"/>
    <col min="5108" max="5108" width="11.5" style="67" customWidth="1"/>
    <col min="5109" max="5109" width="11" style="67" customWidth="1"/>
    <col min="5110" max="5110" width="6.33203125" style="67" customWidth="1"/>
    <col min="5111" max="5111" width="11.33203125" style="67" customWidth="1"/>
    <col min="5112" max="5112" width="14.6640625" style="67" bestFit="1" customWidth="1"/>
    <col min="5113" max="5355" width="8.83203125" style="67"/>
    <col min="5356" max="5356" width="14.5" style="67" customWidth="1"/>
    <col min="5357" max="5357" width="16.5" style="67" customWidth="1"/>
    <col min="5358" max="5358" width="14.5" style="67" customWidth="1"/>
    <col min="5359" max="5361" width="8.83203125" style="67"/>
    <col min="5362" max="5362" width="10.33203125" style="67" bestFit="1" customWidth="1"/>
    <col min="5363" max="5363" width="10.1640625" style="67" customWidth="1"/>
    <col min="5364" max="5364" width="11.5" style="67" customWidth="1"/>
    <col min="5365" max="5365" width="11" style="67" customWidth="1"/>
    <col min="5366" max="5366" width="6.33203125" style="67" customWidth="1"/>
    <col min="5367" max="5367" width="11.33203125" style="67" customWidth="1"/>
    <col min="5368" max="5368" width="14.6640625" style="67" bestFit="1" customWidth="1"/>
    <col min="5369" max="5611" width="8.83203125" style="67"/>
    <col min="5612" max="5612" width="14.5" style="67" customWidth="1"/>
    <col min="5613" max="5613" width="16.5" style="67" customWidth="1"/>
    <col min="5614" max="5614" width="14.5" style="67" customWidth="1"/>
    <col min="5615" max="5617" width="8.83203125" style="67"/>
    <col min="5618" max="5618" width="10.33203125" style="67" bestFit="1" customWidth="1"/>
    <col min="5619" max="5619" width="10.1640625" style="67" customWidth="1"/>
    <col min="5620" max="5620" width="11.5" style="67" customWidth="1"/>
    <col min="5621" max="5621" width="11" style="67" customWidth="1"/>
    <col min="5622" max="5622" width="6.33203125" style="67" customWidth="1"/>
    <col min="5623" max="5623" width="11.33203125" style="67" customWidth="1"/>
    <col min="5624" max="5624" width="14.6640625" style="67" bestFit="1" customWidth="1"/>
    <col min="5625" max="5867" width="8.83203125" style="67"/>
    <col min="5868" max="5868" width="14.5" style="67" customWidth="1"/>
    <col min="5869" max="5869" width="16.5" style="67" customWidth="1"/>
    <col min="5870" max="5870" width="14.5" style="67" customWidth="1"/>
    <col min="5871" max="5873" width="8.83203125" style="67"/>
    <col min="5874" max="5874" width="10.33203125" style="67" bestFit="1" customWidth="1"/>
    <col min="5875" max="5875" width="10.1640625" style="67" customWidth="1"/>
    <col min="5876" max="5876" width="11.5" style="67" customWidth="1"/>
    <col min="5877" max="5877" width="11" style="67" customWidth="1"/>
    <col min="5878" max="5878" width="6.33203125" style="67" customWidth="1"/>
    <col min="5879" max="5879" width="11.33203125" style="67" customWidth="1"/>
    <col min="5880" max="5880" width="14.6640625" style="67" bestFit="1" customWidth="1"/>
    <col min="5881" max="6123" width="8.83203125" style="67"/>
    <col min="6124" max="6124" width="14.5" style="67" customWidth="1"/>
    <col min="6125" max="6125" width="16.5" style="67" customWidth="1"/>
    <col min="6126" max="6126" width="14.5" style="67" customWidth="1"/>
    <col min="6127" max="6129" width="8.83203125" style="67"/>
    <col min="6130" max="6130" width="10.33203125" style="67" bestFit="1" customWidth="1"/>
    <col min="6131" max="6131" width="10.1640625" style="67" customWidth="1"/>
    <col min="6132" max="6132" width="11.5" style="67" customWidth="1"/>
    <col min="6133" max="6133" width="11" style="67" customWidth="1"/>
    <col min="6134" max="6134" width="6.33203125" style="67" customWidth="1"/>
    <col min="6135" max="6135" width="11.33203125" style="67" customWidth="1"/>
    <col min="6136" max="6136" width="14.6640625" style="67" bestFit="1" customWidth="1"/>
    <col min="6137" max="6379" width="8.83203125" style="67"/>
    <col min="6380" max="6380" width="14.5" style="67" customWidth="1"/>
    <col min="6381" max="6381" width="16.5" style="67" customWidth="1"/>
    <col min="6382" max="6382" width="14.5" style="67" customWidth="1"/>
    <col min="6383" max="6385" width="8.83203125" style="67"/>
    <col min="6386" max="6386" width="10.33203125" style="67" bestFit="1" customWidth="1"/>
    <col min="6387" max="6387" width="10.1640625" style="67" customWidth="1"/>
    <col min="6388" max="6388" width="11.5" style="67" customWidth="1"/>
    <col min="6389" max="6389" width="11" style="67" customWidth="1"/>
    <col min="6390" max="6390" width="6.33203125" style="67" customWidth="1"/>
    <col min="6391" max="6391" width="11.33203125" style="67" customWidth="1"/>
    <col min="6392" max="6392" width="14.6640625" style="67" bestFit="1" customWidth="1"/>
    <col min="6393" max="6635" width="8.83203125" style="67"/>
    <col min="6636" max="6636" width="14.5" style="67" customWidth="1"/>
    <col min="6637" max="6637" width="16.5" style="67" customWidth="1"/>
    <col min="6638" max="6638" width="14.5" style="67" customWidth="1"/>
    <col min="6639" max="6641" width="8.83203125" style="67"/>
    <col min="6642" max="6642" width="10.33203125" style="67" bestFit="1" customWidth="1"/>
    <col min="6643" max="6643" width="10.1640625" style="67" customWidth="1"/>
    <col min="6644" max="6644" width="11.5" style="67" customWidth="1"/>
    <col min="6645" max="6645" width="11" style="67" customWidth="1"/>
    <col min="6646" max="6646" width="6.33203125" style="67" customWidth="1"/>
    <col min="6647" max="6647" width="11.33203125" style="67" customWidth="1"/>
    <col min="6648" max="6648" width="14.6640625" style="67" bestFit="1" customWidth="1"/>
    <col min="6649" max="6891" width="8.83203125" style="67"/>
    <col min="6892" max="6892" width="14.5" style="67" customWidth="1"/>
    <col min="6893" max="6893" width="16.5" style="67" customWidth="1"/>
    <col min="6894" max="6894" width="14.5" style="67" customWidth="1"/>
    <col min="6895" max="6897" width="8.83203125" style="67"/>
    <col min="6898" max="6898" width="10.33203125" style="67" bestFit="1" customWidth="1"/>
    <col min="6899" max="6899" width="10.1640625" style="67" customWidth="1"/>
    <col min="6900" max="6900" width="11.5" style="67" customWidth="1"/>
    <col min="6901" max="6901" width="11" style="67" customWidth="1"/>
    <col min="6902" max="6902" width="6.33203125" style="67" customWidth="1"/>
    <col min="6903" max="6903" width="11.33203125" style="67" customWidth="1"/>
    <col min="6904" max="6904" width="14.6640625" style="67" bestFit="1" customWidth="1"/>
    <col min="6905" max="7147" width="8.83203125" style="67"/>
    <col min="7148" max="7148" width="14.5" style="67" customWidth="1"/>
    <col min="7149" max="7149" width="16.5" style="67" customWidth="1"/>
    <col min="7150" max="7150" width="14.5" style="67" customWidth="1"/>
    <col min="7151" max="7153" width="8.83203125" style="67"/>
    <col min="7154" max="7154" width="10.33203125" style="67" bestFit="1" customWidth="1"/>
    <col min="7155" max="7155" width="10.1640625" style="67" customWidth="1"/>
    <col min="7156" max="7156" width="11.5" style="67" customWidth="1"/>
    <col min="7157" max="7157" width="11" style="67" customWidth="1"/>
    <col min="7158" max="7158" width="6.33203125" style="67" customWidth="1"/>
    <col min="7159" max="7159" width="11.33203125" style="67" customWidth="1"/>
    <col min="7160" max="7160" width="14.6640625" style="67" bestFit="1" customWidth="1"/>
    <col min="7161" max="7403" width="8.83203125" style="67"/>
    <col min="7404" max="7404" width="14.5" style="67" customWidth="1"/>
    <col min="7405" max="7405" width="16.5" style="67" customWidth="1"/>
    <col min="7406" max="7406" width="14.5" style="67" customWidth="1"/>
    <col min="7407" max="7409" width="8.83203125" style="67"/>
    <col min="7410" max="7410" width="10.33203125" style="67" bestFit="1" customWidth="1"/>
    <col min="7411" max="7411" width="10.1640625" style="67" customWidth="1"/>
    <col min="7412" max="7412" width="11.5" style="67" customWidth="1"/>
    <col min="7413" max="7413" width="11" style="67" customWidth="1"/>
    <col min="7414" max="7414" width="6.33203125" style="67" customWidth="1"/>
    <col min="7415" max="7415" width="11.33203125" style="67" customWidth="1"/>
    <col min="7416" max="7416" width="14.6640625" style="67" bestFit="1" customWidth="1"/>
    <col min="7417" max="7659" width="8.83203125" style="67"/>
    <col min="7660" max="7660" width="14.5" style="67" customWidth="1"/>
    <col min="7661" max="7661" width="16.5" style="67" customWidth="1"/>
    <col min="7662" max="7662" width="14.5" style="67" customWidth="1"/>
    <col min="7663" max="7665" width="8.83203125" style="67"/>
    <col min="7666" max="7666" width="10.33203125" style="67" bestFit="1" customWidth="1"/>
    <col min="7667" max="7667" width="10.1640625" style="67" customWidth="1"/>
    <col min="7668" max="7668" width="11.5" style="67" customWidth="1"/>
    <col min="7669" max="7669" width="11" style="67" customWidth="1"/>
    <col min="7670" max="7670" width="6.33203125" style="67" customWidth="1"/>
    <col min="7671" max="7671" width="11.33203125" style="67" customWidth="1"/>
    <col min="7672" max="7672" width="14.6640625" style="67" bestFit="1" customWidth="1"/>
    <col min="7673" max="7915" width="8.83203125" style="67"/>
    <col min="7916" max="7916" width="14.5" style="67" customWidth="1"/>
    <col min="7917" max="7917" width="16.5" style="67" customWidth="1"/>
    <col min="7918" max="7918" width="14.5" style="67" customWidth="1"/>
    <col min="7919" max="7921" width="8.83203125" style="67"/>
    <col min="7922" max="7922" width="10.33203125" style="67" bestFit="1" customWidth="1"/>
    <col min="7923" max="7923" width="10.1640625" style="67" customWidth="1"/>
    <col min="7924" max="7924" width="11.5" style="67" customWidth="1"/>
    <col min="7925" max="7925" width="11" style="67" customWidth="1"/>
    <col min="7926" max="7926" width="6.33203125" style="67" customWidth="1"/>
    <col min="7927" max="7927" width="11.33203125" style="67" customWidth="1"/>
    <col min="7928" max="7928" width="14.6640625" style="67" bestFit="1" customWidth="1"/>
    <col min="7929" max="8171" width="8.83203125" style="67"/>
    <col min="8172" max="8172" width="14.5" style="67" customWidth="1"/>
    <col min="8173" max="8173" width="16.5" style="67" customWidth="1"/>
    <col min="8174" max="8174" width="14.5" style="67" customWidth="1"/>
    <col min="8175" max="8177" width="8.83203125" style="67"/>
    <col min="8178" max="8178" width="10.33203125" style="67" bestFit="1" customWidth="1"/>
    <col min="8179" max="8179" width="10.1640625" style="67" customWidth="1"/>
    <col min="8180" max="8180" width="11.5" style="67" customWidth="1"/>
    <col min="8181" max="8181" width="11" style="67" customWidth="1"/>
    <col min="8182" max="8182" width="6.33203125" style="67" customWidth="1"/>
    <col min="8183" max="8183" width="11.33203125" style="67" customWidth="1"/>
    <col min="8184" max="8184" width="14.6640625" style="67" bestFit="1" customWidth="1"/>
    <col min="8185" max="8427" width="8.83203125" style="67"/>
    <col min="8428" max="8428" width="14.5" style="67" customWidth="1"/>
    <col min="8429" max="8429" width="16.5" style="67" customWidth="1"/>
    <col min="8430" max="8430" width="14.5" style="67" customWidth="1"/>
    <col min="8431" max="8433" width="8.83203125" style="67"/>
    <col min="8434" max="8434" width="10.33203125" style="67" bestFit="1" customWidth="1"/>
    <col min="8435" max="8435" width="10.1640625" style="67" customWidth="1"/>
    <col min="8436" max="8436" width="11.5" style="67" customWidth="1"/>
    <col min="8437" max="8437" width="11" style="67" customWidth="1"/>
    <col min="8438" max="8438" width="6.33203125" style="67" customWidth="1"/>
    <col min="8439" max="8439" width="11.33203125" style="67" customWidth="1"/>
    <col min="8440" max="8440" width="14.6640625" style="67" bestFit="1" customWidth="1"/>
    <col min="8441" max="8683" width="8.83203125" style="67"/>
    <col min="8684" max="8684" width="14.5" style="67" customWidth="1"/>
    <col min="8685" max="8685" width="16.5" style="67" customWidth="1"/>
    <col min="8686" max="8686" width="14.5" style="67" customWidth="1"/>
    <col min="8687" max="8689" width="8.83203125" style="67"/>
    <col min="8690" max="8690" width="10.33203125" style="67" bestFit="1" customWidth="1"/>
    <col min="8691" max="8691" width="10.1640625" style="67" customWidth="1"/>
    <col min="8692" max="8692" width="11.5" style="67" customWidth="1"/>
    <col min="8693" max="8693" width="11" style="67" customWidth="1"/>
    <col min="8694" max="8694" width="6.33203125" style="67" customWidth="1"/>
    <col min="8695" max="8695" width="11.33203125" style="67" customWidth="1"/>
    <col min="8696" max="8696" width="14.6640625" style="67" bestFit="1" customWidth="1"/>
    <col min="8697" max="8939" width="8.83203125" style="67"/>
    <col min="8940" max="8940" width="14.5" style="67" customWidth="1"/>
    <col min="8941" max="8941" width="16.5" style="67" customWidth="1"/>
    <col min="8942" max="8942" width="14.5" style="67" customWidth="1"/>
    <col min="8943" max="8945" width="8.83203125" style="67"/>
    <col min="8946" max="8946" width="10.33203125" style="67" bestFit="1" customWidth="1"/>
    <col min="8947" max="8947" width="10.1640625" style="67" customWidth="1"/>
    <col min="8948" max="8948" width="11.5" style="67" customWidth="1"/>
    <col min="8949" max="8949" width="11" style="67" customWidth="1"/>
    <col min="8950" max="8950" width="6.33203125" style="67" customWidth="1"/>
    <col min="8951" max="8951" width="11.33203125" style="67" customWidth="1"/>
    <col min="8952" max="8952" width="14.6640625" style="67" bestFit="1" customWidth="1"/>
    <col min="8953" max="9195" width="8.83203125" style="67"/>
    <col min="9196" max="9196" width="14.5" style="67" customWidth="1"/>
    <col min="9197" max="9197" width="16.5" style="67" customWidth="1"/>
    <col min="9198" max="9198" width="14.5" style="67" customWidth="1"/>
    <col min="9199" max="9201" width="8.83203125" style="67"/>
    <col min="9202" max="9202" width="10.33203125" style="67" bestFit="1" customWidth="1"/>
    <col min="9203" max="9203" width="10.1640625" style="67" customWidth="1"/>
    <col min="9204" max="9204" width="11.5" style="67" customWidth="1"/>
    <col min="9205" max="9205" width="11" style="67" customWidth="1"/>
    <col min="9206" max="9206" width="6.33203125" style="67" customWidth="1"/>
    <col min="9207" max="9207" width="11.33203125" style="67" customWidth="1"/>
    <col min="9208" max="9208" width="14.6640625" style="67" bestFit="1" customWidth="1"/>
    <col min="9209" max="9451" width="8.83203125" style="67"/>
    <col min="9452" max="9452" width="14.5" style="67" customWidth="1"/>
    <col min="9453" max="9453" width="16.5" style="67" customWidth="1"/>
    <col min="9454" max="9454" width="14.5" style="67" customWidth="1"/>
    <col min="9455" max="9457" width="8.83203125" style="67"/>
    <col min="9458" max="9458" width="10.33203125" style="67" bestFit="1" customWidth="1"/>
    <col min="9459" max="9459" width="10.1640625" style="67" customWidth="1"/>
    <col min="9460" max="9460" width="11.5" style="67" customWidth="1"/>
    <col min="9461" max="9461" width="11" style="67" customWidth="1"/>
    <col min="9462" max="9462" width="6.33203125" style="67" customWidth="1"/>
    <col min="9463" max="9463" width="11.33203125" style="67" customWidth="1"/>
    <col min="9464" max="9464" width="14.6640625" style="67" bestFit="1" customWidth="1"/>
    <col min="9465" max="9707" width="8.83203125" style="67"/>
    <col min="9708" max="9708" width="14.5" style="67" customWidth="1"/>
    <col min="9709" max="9709" width="16.5" style="67" customWidth="1"/>
    <col min="9710" max="9710" width="14.5" style="67" customWidth="1"/>
    <col min="9711" max="9713" width="8.83203125" style="67"/>
    <col min="9714" max="9714" width="10.33203125" style="67" bestFit="1" customWidth="1"/>
    <col min="9715" max="9715" width="10.1640625" style="67" customWidth="1"/>
    <col min="9716" max="9716" width="11.5" style="67" customWidth="1"/>
    <col min="9717" max="9717" width="11" style="67" customWidth="1"/>
    <col min="9718" max="9718" width="6.33203125" style="67" customWidth="1"/>
    <col min="9719" max="9719" width="11.33203125" style="67" customWidth="1"/>
    <col min="9720" max="9720" width="14.6640625" style="67" bestFit="1" customWidth="1"/>
    <col min="9721" max="9963" width="8.83203125" style="67"/>
    <col min="9964" max="9964" width="14.5" style="67" customWidth="1"/>
    <col min="9965" max="9965" width="16.5" style="67" customWidth="1"/>
    <col min="9966" max="9966" width="14.5" style="67" customWidth="1"/>
    <col min="9967" max="9969" width="8.83203125" style="67"/>
    <col min="9970" max="9970" width="10.33203125" style="67" bestFit="1" customWidth="1"/>
    <col min="9971" max="9971" width="10.1640625" style="67" customWidth="1"/>
    <col min="9972" max="9972" width="11.5" style="67" customWidth="1"/>
    <col min="9973" max="9973" width="11" style="67" customWidth="1"/>
    <col min="9974" max="9974" width="6.33203125" style="67" customWidth="1"/>
    <col min="9975" max="9975" width="11.33203125" style="67" customWidth="1"/>
    <col min="9976" max="9976" width="14.6640625" style="67" bestFit="1" customWidth="1"/>
    <col min="9977" max="10219" width="8.83203125" style="67"/>
    <col min="10220" max="10220" width="14.5" style="67" customWidth="1"/>
    <col min="10221" max="10221" width="16.5" style="67" customWidth="1"/>
    <col min="10222" max="10222" width="14.5" style="67" customWidth="1"/>
    <col min="10223" max="10225" width="8.83203125" style="67"/>
    <col min="10226" max="10226" width="10.33203125" style="67" bestFit="1" customWidth="1"/>
    <col min="10227" max="10227" width="10.1640625" style="67" customWidth="1"/>
    <col min="10228" max="10228" width="11.5" style="67" customWidth="1"/>
    <col min="10229" max="10229" width="11" style="67" customWidth="1"/>
    <col min="10230" max="10230" width="6.33203125" style="67" customWidth="1"/>
    <col min="10231" max="10231" width="11.33203125" style="67" customWidth="1"/>
    <col min="10232" max="10232" width="14.6640625" style="67" bestFit="1" customWidth="1"/>
    <col min="10233" max="10475" width="8.83203125" style="67"/>
    <col min="10476" max="10476" width="14.5" style="67" customWidth="1"/>
    <col min="10477" max="10477" width="16.5" style="67" customWidth="1"/>
    <col min="10478" max="10478" width="14.5" style="67" customWidth="1"/>
    <col min="10479" max="10481" width="8.83203125" style="67"/>
    <col min="10482" max="10482" width="10.33203125" style="67" bestFit="1" customWidth="1"/>
    <col min="10483" max="10483" width="10.1640625" style="67" customWidth="1"/>
    <col min="10484" max="10484" width="11.5" style="67" customWidth="1"/>
    <col min="10485" max="10485" width="11" style="67" customWidth="1"/>
    <col min="10486" max="10486" width="6.33203125" style="67" customWidth="1"/>
    <col min="10487" max="10487" width="11.33203125" style="67" customWidth="1"/>
    <col min="10488" max="10488" width="14.6640625" style="67" bestFit="1" customWidth="1"/>
    <col min="10489" max="10731" width="8.83203125" style="67"/>
    <col min="10732" max="10732" width="14.5" style="67" customWidth="1"/>
    <col min="10733" max="10733" width="16.5" style="67" customWidth="1"/>
    <col min="10734" max="10734" width="14.5" style="67" customWidth="1"/>
    <col min="10735" max="10737" width="8.83203125" style="67"/>
    <col min="10738" max="10738" width="10.33203125" style="67" bestFit="1" customWidth="1"/>
    <col min="10739" max="10739" width="10.1640625" style="67" customWidth="1"/>
    <col min="10740" max="10740" width="11.5" style="67" customWidth="1"/>
    <col min="10741" max="10741" width="11" style="67" customWidth="1"/>
    <col min="10742" max="10742" width="6.33203125" style="67" customWidth="1"/>
    <col min="10743" max="10743" width="11.33203125" style="67" customWidth="1"/>
    <col min="10744" max="10744" width="14.6640625" style="67" bestFit="1" customWidth="1"/>
    <col min="10745" max="10987" width="8.83203125" style="67"/>
    <col min="10988" max="10988" width="14.5" style="67" customWidth="1"/>
    <col min="10989" max="10989" width="16.5" style="67" customWidth="1"/>
    <col min="10990" max="10990" width="14.5" style="67" customWidth="1"/>
    <col min="10991" max="10993" width="8.83203125" style="67"/>
    <col min="10994" max="10994" width="10.33203125" style="67" bestFit="1" customWidth="1"/>
    <col min="10995" max="10995" width="10.1640625" style="67" customWidth="1"/>
    <col min="10996" max="10996" width="11.5" style="67" customWidth="1"/>
    <col min="10997" max="10997" width="11" style="67" customWidth="1"/>
    <col min="10998" max="10998" width="6.33203125" style="67" customWidth="1"/>
    <col min="10999" max="10999" width="11.33203125" style="67" customWidth="1"/>
    <col min="11000" max="11000" width="14.6640625" style="67" bestFit="1" customWidth="1"/>
    <col min="11001" max="11243" width="8.83203125" style="67"/>
    <col min="11244" max="11244" width="14.5" style="67" customWidth="1"/>
    <col min="11245" max="11245" width="16.5" style="67" customWidth="1"/>
    <col min="11246" max="11246" width="14.5" style="67" customWidth="1"/>
    <col min="11247" max="11249" width="8.83203125" style="67"/>
    <col min="11250" max="11250" width="10.33203125" style="67" bestFit="1" customWidth="1"/>
    <col min="11251" max="11251" width="10.1640625" style="67" customWidth="1"/>
    <col min="11252" max="11252" width="11.5" style="67" customWidth="1"/>
    <col min="11253" max="11253" width="11" style="67" customWidth="1"/>
    <col min="11254" max="11254" width="6.33203125" style="67" customWidth="1"/>
    <col min="11255" max="11255" width="11.33203125" style="67" customWidth="1"/>
    <col min="11256" max="11256" width="14.6640625" style="67" bestFit="1" customWidth="1"/>
    <col min="11257" max="11499" width="8.83203125" style="67"/>
    <col min="11500" max="11500" width="14.5" style="67" customWidth="1"/>
    <col min="11501" max="11501" width="16.5" style="67" customWidth="1"/>
    <col min="11502" max="11502" width="14.5" style="67" customWidth="1"/>
    <col min="11503" max="11505" width="8.83203125" style="67"/>
    <col min="11506" max="11506" width="10.33203125" style="67" bestFit="1" customWidth="1"/>
    <col min="11507" max="11507" width="10.1640625" style="67" customWidth="1"/>
    <col min="11508" max="11508" width="11.5" style="67" customWidth="1"/>
    <col min="11509" max="11509" width="11" style="67" customWidth="1"/>
    <col min="11510" max="11510" width="6.33203125" style="67" customWidth="1"/>
    <col min="11511" max="11511" width="11.33203125" style="67" customWidth="1"/>
    <col min="11512" max="11512" width="14.6640625" style="67" bestFit="1" customWidth="1"/>
    <col min="11513" max="11755" width="8.83203125" style="67"/>
    <col min="11756" max="11756" width="14.5" style="67" customWidth="1"/>
    <col min="11757" max="11757" width="16.5" style="67" customWidth="1"/>
    <col min="11758" max="11758" width="14.5" style="67" customWidth="1"/>
    <col min="11759" max="11761" width="8.83203125" style="67"/>
    <col min="11762" max="11762" width="10.33203125" style="67" bestFit="1" customWidth="1"/>
    <col min="11763" max="11763" width="10.1640625" style="67" customWidth="1"/>
    <col min="11764" max="11764" width="11.5" style="67" customWidth="1"/>
    <col min="11765" max="11765" width="11" style="67" customWidth="1"/>
    <col min="11766" max="11766" width="6.33203125" style="67" customWidth="1"/>
    <col min="11767" max="11767" width="11.33203125" style="67" customWidth="1"/>
    <col min="11768" max="11768" width="14.6640625" style="67" bestFit="1" customWidth="1"/>
    <col min="11769" max="12011" width="8.83203125" style="67"/>
    <col min="12012" max="12012" width="14.5" style="67" customWidth="1"/>
    <col min="12013" max="12013" width="16.5" style="67" customWidth="1"/>
    <col min="12014" max="12014" width="14.5" style="67" customWidth="1"/>
    <col min="12015" max="12017" width="8.83203125" style="67"/>
    <col min="12018" max="12018" width="10.33203125" style="67" bestFit="1" customWidth="1"/>
    <col min="12019" max="12019" width="10.1640625" style="67" customWidth="1"/>
    <col min="12020" max="12020" width="11.5" style="67" customWidth="1"/>
    <col min="12021" max="12021" width="11" style="67" customWidth="1"/>
    <col min="12022" max="12022" width="6.33203125" style="67" customWidth="1"/>
    <col min="12023" max="12023" width="11.33203125" style="67" customWidth="1"/>
    <col min="12024" max="12024" width="14.6640625" style="67" bestFit="1" customWidth="1"/>
    <col min="12025" max="12267" width="8.83203125" style="67"/>
    <col min="12268" max="12268" width="14.5" style="67" customWidth="1"/>
    <col min="12269" max="12269" width="16.5" style="67" customWidth="1"/>
    <col min="12270" max="12270" width="14.5" style="67" customWidth="1"/>
    <col min="12271" max="12273" width="8.83203125" style="67"/>
    <col min="12274" max="12274" width="10.33203125" style="67" bestFit="1" customWidth="1"/>
    <col min="12275" max="12275" width="10.1640625" style="67" customWidth="1"/>
    <col min="12276" max="12276" width="11.5" style="67" customWidth="1"/>
    <col min="12277" max="12277" width="11" style="67" customWidth="1"/>
    <col min="12278" max="12278" width="6.33203125" style="67" customWidth="1"/>
    <col min="12279" max="12279" width="11.33203125" style="67" customWidth="1"/>
    <col min="12280" max="12280" width="14.6640625" style="67" bestFit="1" customWidth="1"/>
    <col min="12281" max="12523" width="8.83203125" style="67"/>
    <col min="12524" max="12524" width="14.5" style="67" customWidth="1"/>
    <col min="12525" max="12525" width="16.5" style="67" customWidth="1"/>
    <col min="12526" max="12526" width="14.5" style="67" customWidth="1"/>
    <col min="12527" max="12529" width="8.83203125" style="67"/>
    <col min="12530" max="12530" width="10.33203125" style="67" bestFit="1" customWidth="1"/>
    <col min="12531" max="12531" width="10.1640625" style="67" customWidth="1"/>
    <col min="12532" max="12532" width="11.5" style="67" customWidth="1"/>
    <col min="12533" max="12533" width="11" style="67" customWidth="1"/>
    <col min="12534" max="12534" width="6.33203125" style="67" customWidth="1"/>
    <col min="12535" max="12535" width="11.33203125" style="67" customWidth="1"/>
    <col min="12536" max="12536" width="14.6640625" style="67" bestFit="1" customWidth="1"/>
    <col min="12537" max="12779" width="8.83203125" style="67"/>
    <col min="12780" max="12780" width="14.5" style="67" customWidth="1"/>
    <col min="12781" max="12781" width="16.5" style="67" customWidth="1"/>
    <col min="12782" max="12782" width="14.5" style="67" customWidth="1"/>
    <col min="12783" max="12785" width="8.83203125" style="67"/>
    <col min="12786" max="12786" width="10.33203125" style="67" bestFit="1" customWidth="1"/>
    <col min="12787" max="12787" width="10.1640625" style="67" customWidth="1"/>
    <col min="12788" max="12788" width="11.5" style="67" customWidth="1"/>
    <col min="12789" max="12789" width="11" style="67" customWidth="1"/>
    <col min="12790" max="12790" width="6.33203125" style="67" customWidth="1"/>
    <col min="12791" max="12791" width="11.33203125" style="67" customWidth="1"/>
    <col min="12792" max="12792" width="14.6640625" style="67" bestFit="1" customWidth="1"/>
    <col min="12793" max="13035" width="8.83203125" style="67"/>
    <col min="13036" max="13036" width="14.5" style="67" customWidth="1"/>
    <col min="13037" max="13037" width="16.5" style="67" customWidth="1"/>
    <col min="13038" max="13038" width="14.5" style="67" customWidth="1"/>
    <col min="13039" max="13041" width="8.83203125" style="67"/>
    <col min="13042" max="13042" width="10.33203125" style="67" bestFit="1" customWidth="1"/>
    <col min="13043" max="13043" width="10.1640625" style="67" customWidth="1"/>
    <col min="13044" max="13044" width="11.5" style="67" customWidth="1"/>
    <col min="13045" max="13045" width="11" style="67" customWidth="1"/>
    <col min="13046" max="13046" width="6.33203125" style="67" customWidth="1"/>
    <col min="13047" max="13047" width="11.33203125" style="67" customWidth="1"/>
    <col min="13048" max="13048" width="14.6640625" style="67" bestFit="1" customWidth="1"/>
    <col min="13049" max="13291" width="8.83203125" style="67"/>
    <col min="13292" max="13292" width="14.5" style="67" customWidth="1"/>
    <col min="13293" max="13293" width="16.5" style="67" customWidth="1"/>
    <col min="13294" max="13294" width="14.5" style="67" customWidth="1"/>
    <col min="13295" max="13297" width="8.83203125" style="67"/>
    <col min="13298" max="13298" width="10.33203125" style="67" bestFit="1" customWidth="1"/>
    <col min="13299" max="13299" width="10.1640625" style="67" customWidth="1"/>
    <col min="13300" max="13300" width="11.5" style="67" customWidth="1"/>
    <col min="13301" max="13301" width="11" style="67" customWidth="1"/>
    <col min="13302" max="13302" width="6.33203125" style="67" customWidth="1"/>
    <col min="13303" max="13303" width="11.33203125" style="67" customWidth="1"/>
    <col min="13304" max="13304" width="14.6640625" style="67" bestFit="1" customWidth="1"/>
    <col min="13305" max="13547" width="8.83203125" style="67"/>
    <col min="13548" max="13548" width="14.5" style="67" customWidth="1"/>
    <col min="13549" max="13549" width="16.5" style="67" customWidth="1"/>
    <col min="13550" max="13550" width="14.5" style="67" customWidth="1"/>
    <col min="13551" max="13553" width="8.83203125" style="67"/>
    <col min="13554" max="13554" width="10.33203125" style="67" bestFit="1" customWidth="1"/>
    <col min="13555" max="13555" width="10.1640625" style="67" customWidth="1"/>
    <col min="13556" max="13556" width="11.5" style="67" customWidth="1"/>
    <col min="13557" max="13557" width="11" style="67" customWidth="1"/>
    <col min="13558" max="13558" width="6.33203125" style="67" customWidth="1"/>
    <col min="13559" max="13559" width="11.33203125" style="67" customWidth="1"/>
    <col min="13560" max="13560" width="14.6640625" style="67" bestFit="1" customWidth="1"/>
    <col min="13561" max="13803" width="8.83203125" style="67"/>
    <col min="13804" max="13804" width="14.5" style="67" customWidth="1"/>
    <col min="13805" max="13805" width="16.5" style="67" customWidth="1"/>
    <col min="13806" max="13806" width="14.5" style="67" customWidth="1"/>
    <col min="13807" max="13809" width="8.83203125" style="67"/>
    <col min="13810" max="13810" width="10.33203125" style="67" bestFit="1" customWidth="1"/>
    <col min="13811" max="13811" width="10.1640625" style="67" customWidth="1"/>
    <col min="13812" max="13812" width="11.5" style="67" customWidth="1"/>
    <col min="13813" max="13813" width="11" style="67" customWidth="1"/>
    <col min="13814" max="13814" width="6.33203125" style="67" customWidth="1"/>
    <col min="13815" max="13815" width="11.33203125" style="67" customWidth="1"/>
    <col min="13816" max="13816" width="14.6640625" style="67" bestFit="1" customWidth="1"/>
    <col min="13817" max="14059" width="8.83203125" style="67"/>
    <col min="14060" max="14060" width="14.5" style="67" customWidth="1"/>
    <col min="14061" max="14061" width="16.5" style="67" customWidth="1"/>
    <col min="14062" max="14062" width="14.5" style="67" customWidth="1"/>
    <col min="14063" max="14065" width="8.83203125" style="67"/>
    <col min="14066" max="14066" width="10.33203125" style="67" bestFit="1" customWidth="1"/>
    <col min="14067" max="14067" width="10.1640625" style="67" customWidth="1"/>
    <col min="14068" max="14068" width="11.5" style="67" customWidth="1"/>
    <col min="14069" max="14069" width="11" style="67" customWidth="1"/>
    <col min="14070" max="14070" width="6.33203125" style="67" customWidth="1"/>
    <col min="14071" max="14071" width="11.33203125" style="67" customWidth="1"/>
    <col min="14072" max="14072" width="14.6640625" style="67" bestFit="1" customWidth="1"/>
    <col min="14073" max="14315" width="8.83203125" style="67"/>
    <col min="14316" max="14316" width="14.5" style="67" customWidth="1"/>
    <col min="14317" max="14317" width="16.5" style="67" customWidth="1"/>
    <col min="14318" max="14318" width="14.5" style="67" customWidth="1"/>
    <col min="14319" max="14321" width="8.83203125" style="67"/>
    <col min="14322" max="14322" width="10.33203125" style="67" bestFit="1" customWidth="1"/>
    <col min="14323" max="14323" width="10.1640625" style="67" customWidth="1"/>
    <col min="14324" max="14324" width="11.5" style="67" customWidth="1"/>
    <col min="14325" max="14325" width="11" style="67" customWidth="1"/>
    <col min="14326" max="14326" width="6.33203125" style="67" customWidth="1"/>
    <col min="14327" max="14327" width="11.33203125" style="67" customWidth="1"/>
    <col min="14328" max="14328" width="14.6640625" style="67" bestFit="1" customWidth="1"/>
    <col min="14329" max="14571" width="8.83203125" style="67"/>
    <col min="14572" max="14572" width="14.5" style="67" customWidth="1"/>
    <col min="14573" max="14573" width="16.5" style="67" customWidth="1"/>
    <col min="14574" max="14574" width="14.5" style="67" customWidth="1"/>
    <col min="14575" max="14577" width="8.83203125" style="67"/>
    <col min="14578" max="14578" width="10.33203125" style="67" bestFit="1" customWidth="1"/>
    <col min="14579" max="14579" width="10.1640625" style="67" customWidth="1"/>
    <col min="14580" max="14580" width="11.5" style="67" customWidth="1"/>
    <col min="14581" max="14581" width="11" style="67" customWidth="1"/>
    <col min="14582" max="14582" width="6.33203125" style="67" customWidth="1"/>
    <col min="14583" max="14583" width="11.33203125" style="67" customWidth="1"/>
    <col min="14584" max="14584" width="14.6640625" style="67" bestFit="1" customWidth="1"/>
    <col min="14585" max="14827" width="8.83203125" style="67"/>
    <col min="14828" max="14828" width="14.5" style="67" customWidth="1"/>
    <col min="14829" max="14829" width="16.5" style="67" customWidth="1"/>
    <col min="14830" max="14830" width="14.5" style="67" customWidth="1"/>
    <col min="14831" max="14833" width="8.83203125" style="67"/>
    <col min="14834" max="14834" width="10.33203125" style="67" bestFit="1" customWidth="1"/>
    <col min="14835" max="14835" width="10.1640625" style="67" customWidth="1"/>
    <col min="14836" max="14836" width="11.5" style="67" customWidth="1"/>
    <col min="14837" max="14837" width="11" style="67" customWidth="1"/>
    <col min="14838" max="14838" width="6.33203125" style="67" customWidth="1"/>
    <col min="14839" max="14839" width="11.33203125" style="67" customWidth="1"/>
    <col min="14840" max="14840" width="14.6640625" style="67" bestFit="1" customWidth="1"/>
    <col min="14841" max="15083" width="8.83203125" style="67"/>
    <col min="15084" max="15084" width="14.5" style="67" customWidth="1"/>
    <col min="15085" max="15085" width="16.5" style="67" customWidth="1"/>
    <col min="15086" max="15086" width="14.5" style="67" customWidth="1"/>
    <col min="15087" max="15089" width="8.83203125" style="67"/>
    <col min="15090" max="15090" width="10.33203125" style="67" bestFit="1" customWidth="1"/>
    <col min="15091" max="15091" width="10.1640625" style="67" customWidth="1"/>
    <col min="15092" max="15092" width="11.5" style="67" customWidth="1"/>
    <col min="15093" max="15093" width="11" style="67" customWidth="1"/>
    <col min="15094" max="15094" width="6.33203125" style="67" customWidth="1"/>
    <col min="15095" max="15095" width="11.33203125" style="67" customWidth="1"/>
    <col min="15096" max="15096" width="14.6640625" style="67" bestFit="1" customWidth="1"/>
    <col min="15097" max="15339" width="8.83203125" style="67"/>
    <col min="15340" max="15340" width="14.5" style="67" customWidth="1"/>
    <col min="15341" max="15341" width="16.5" style="67" customWidth="1"/>
    <col min="15342" max="15342" width="14.5" style="67" customWidth="1"/>
    <col min="15343" max="15345" width="8.83203125" style="67"/>
    <col min="15346" max="15346" width="10.33203125" style="67" bestFit="1" customWidth="1"/>
    <col min="15347" max="15347" width="10.1640625" style="67" customWidth="1"/>
    <col min="15348" max="15348" width="11.5" style="67" customWidth="1"/>
    <col min="15349" max="15349" width="11" style="67" customWidth="1"/>
    <col min="15350" max="15350" width="6.33203125" style="67" customWidth="1"/>
    <col min="15351" max="15351" width="11.33203125" style="67" customWidth="1"/>
    <col min="15352" max="15352" width="14.6640625" style="67" bestFit="1" customWidth="1"/>
    <col min="15353" max="15595" width="8.83203125" style="67"/>
    <col min="15596" max="15596" width="14.5" style="67" customWidth="1"/>
    <col min="15597" max="15597" width="16.5" style="67" customWidth="1"/>
    <col min="15598" max="15598" width="14.5" style="67" customWidth="1"/>
    <col min="15599" max="15601" width="8.83203125" style="67"/>
    <col min="15602" max="15602" width="10.33203125" style="67" bestFit="1" customWidth="1"/>
    <col min="15603" max="15603" width="10.1640625" style="67" customWidth="1"/>
    <col min="15604" max="15604" width="11.5" style="67" customWidth="1"/>
    <col min="15605" max="15605" width="11" style="67" customWidth="1"/>
    <col min="15606" max="15606" width="6.33203125" style="67" customWidth="1"/>
    <col min="15607" max="15607" width="11.33203125" style="67" customWidth="1"/>
    <col min="15608" max="15608" width="14.6640625" style="67" bestFit="1" customWidth="1"/>
    <col min="15609" max="15851" width="8.83203125" style="67"/>
    <col min="15852" max="15852" width="14.5" style="67" customWidth="1"/>
    <col min="15853" max="15853" width="16.5" style="67" customWidth="1"/>
    <col min="15854" max="15854" width="14.5" style="67" customWidth="1"/>
    <col min="15855" max="15857" width="8.83203125" style="67"/>
    <col min="15858" max="15858" width="10.33203125" style="67" bestFit="1" customWidth="1"/>
    <col min="15859" max="15859" width="10.1640625" style="67" customWidth="1"/>
    <col min="15860" max="15860" width="11.5" style="67" customWidth="1"/>
    <col min="15861" max="15861" width="11" style="67" customWidth="1"/>
    <col min="15862" max="15862" width="6.33203125" style="67" customWidth="1"/>
    <col min="15863" max="15863" width="11.33203125" style="67" customWidth="1"/>
    <col min="15864" max="15864" width="14.6640625" style="67" bestFit="1" customWidth="1"/>
    <col min="15865" max="16107" width="8.83203125" style="67"/>
    <col min="16108" max="16108" width="14.5" style="67" customWidth="1"/>
    <col min="16109" max="16109" width="16.5" style="67" customWidth="1"/>
    <col min="16110" max="16110" width="14.5" style="67" customWidth="1"/>
    <col min="16111" max="16113" width="8.83203125" style="67"/>
    <col min="16114" max="16114" width="10.33203125" style="67" bestFit="1" customWidth="1"/>
    <col min="16115" max="16115" width="10.1640625" style="67" customWidth="1"/>
    <col min="16116" max="16116" width="11.5" style="67" customWidth="1"/>
    <col min="16117" max="16117" width="11" style="67" customWidth="1"/>
    <col min="16118" max="16118" width="6.33203125" style="67" customWidth="1"/>
    <col min="16119" max="16119" width="11.33203125" style="67" customWidth="1"/>
    <col min="16120" max="16120" width="14.6640625" style="67" bestFit="1" customWidth="1"/>
    <col min="16121" max="16384" width="8.83203125" style="67"/>
  </cols>
  <sheetData>
    <row r="1" spans="1:6" x14ac:dyDescent="0.15">
      <c r="A1" s="66" t="s">
        <v>69</v>
      </c>
    </row>
    <row r="2" spans="1:6" ht="28" x14ac:dyDescent="0.15">
      <c r="A2" s="68" t="s">
        <v>13</v>
      </c>
      <c r="B2" s="69" t="s">
        <v>73</v>
      </c>
      <c r="D2" s="68" t="s">
        <v>13</v>
      </c>
      <c r="E2" s="69" t="s">
        <v>73</v>
      </c>
    </row>
    <row r="3" spans="1:6" ht="15.75" customHeight="1" x14ac:dyDescent="0.15">
      <c r="A3" s="171" t="str">
        <f>D3</f>
        <v>2024-09</v>
      </c>
      <c r="B3" s="135">
        <f t="shared" ref="B3:B15" si="0">E3/1000000</f>
        <v>27.806092</v>
      </c>
      <c r="D3" s="297" t="s">
        <v>172</v>
      </c>
      <c r="E3" s="280">
        <v>27806092</v>
      </c>
      <c r="F3" s="99" t="s">
        <v>89</v>
      </c>
    </row>
    <row r="4" spans="1:6" ht="14" x14ac:dyDescent="0.15">
      <c r="A4" s="171" t="str">
        <f t="shared" ref="A4:A15" si="1">D4</f>
        <v>2024-10</v>
      </c>
      <c r="B4" s="135">
        <f t="shared" si="0"/>
        <v>33.912024000000002</v>
      </c>
      <c r="D4" s="297" t="s">
        <v>194</v>
      </c>
      <c r="E4" s="280">
        <v>33912024</v>
      </c>
    </row>
    <row r="5" spans="1:6" ht="14" x14ac:dyDescent="0.15">
      <c r="A5" s="171" t="str">
        <f t="shared" si="1"/>
        <v>2024-11</v>
      </c>
      <c r="B5" s="135">
        <f t="shared" si="0"/>
        <v>35.310510999999998</v>
      </c>
      <c r="D5" s="297" t="s">
        <v>195</v>
      </c>
      <c r="E5" s="280">
        <v>35310511</v>
      </c>
    </row>
    <row r="6" spans="1:6" ht="14" x14ac:dyDescent="0.15">
      <c r="A6" s="171" t="str">
        <f t="shared" si="1"/>
        <v>2024-12</v>
      </c>
      <c r="B6" s="135">
        <f t="shared" si="0"/>
        <v>34.487188000000003</v>
      </c>
      <c r="D6" s="297" t="s">
        <v>196</v>
      </c>
      <c r="E6" s="280">
        <v>34487188</v>
      </c>
    </row>
    <row r="7" spans="1:6" ht="14" x14ac:dyDescent="0.15">
      <c r="A7" s="171" t="str">
        <f t="shared" si="1"/>
        <v>2025-01</v>
      </c>
      <c r="B7" s="135">
        <f t="shared" si="0"/>
        <v>34.984738999999998</v>
      </c>
      <c r="D7" s="297" t="s">
        <v>197</v>
      </c>
      <c r="E7" s="280">
        <v>34984739</v>
      </c>
    </row>
    <row r="8" spans="1:6" ht="14" x14ac:dyDescent="0.15">
      <c r="A8" s="171" t="str">
        <f t="shared" si="1"/>
        <v>2025-02</v>
      </c>
      <c r="B8" s="135">
        <f t="shared" si="0"/>
        <v>31.174277</v>
      </c>
      <c r="D8" s="297" t="s">
        <v>198</v>
      </c>
      <c r="E8" s="280">
        <v>31174277</v>
      </c>
    </row>
    <row r="9" spans="1:6" ht="14" x14ac:dyDescent="0.15">
      <c r="A9" s="171" t="str">
        <f t="shared" si="1"/>
        <v>2025-03</v>
      </c>
      <c r="B9" s="135">
        <f t="shared" si="0"/>
        <v>33.485694000000002</v>
      </c>
      <c r="D9" s="297" t="s">
        <v>199</v>
      </c>
      <c r="E9" s="280">
        <v>33485694</v>
      </c>
    </row>
    <row r="10" spans="1:6" ht="14" x14ac:dyDescent="0.15">
      <c r="A10" s="171" t="str">
        <f t="shared" si="1"/>
        <v>2025-04</v>
      </c>
      <c r="B10" s="135">
        <f t="shared" si="0"/>
        <v>30.164615000000001</v>
      </c>
      <c r="D10" s="297" t="s">
        <v>200</v>
      </c>
      <c r="E10" s="280">
        <v>30164615</v>
      </c>
    </row>
    <row r="11" spans="1:6" ht="14" x14ac:dyDescent="0.15">
      <c r="A11" s="171" t="str">
        <f t="shared" si="1"/>
        <v>2025-05</v>
      </c>
      <c r="B11" s="135">
        <f t="shared" si="0"/>
        <v>35.931406000000003</v>
      </c>
      <c r="D11" s="297" t="s">
        <v>201</v>
      </c>
      <c r="E11" s="280">
        <v>35931406</v>
      </c>
    </row>
    <row r="12" spans="1:6" ht="14" x14ac:dyDescent="0.15">
      <c r="A12" s="171" t="str">
        <f t="shared" si="1"/>
        <v>2025-06</v>
      </c>
      <c r="B12" s="135">
        <f t="shared" si="0"/>
        <v>30.718499000000001</v>
      </c>
      <c r="D12" s="297" t="s">
        <v>202</v>
      </c>
      <c r="E12" s="280">
        <v>30718499</v>
      </c>
    </row>
    <row r="13" spans="1:6" ht="14" x14ac:dyDescent="0.15">
      <c r="A13" s="171" t="str">
        <f t="shared" si="1"/>
        <v>2025-07</v>
      </c>
      <c r="B13" s="135">
        <f t="shared" si="0"/>
        <v>21.820793999999999</v>
      </c>
      <c r="D13" s="297" t="s">
        <v>203</v>
      </c>
      <c r="E13" s="280">
        <v>21820794</v>
      </c>
    </row>
    <row r="14" spans="1:6" ht="14" x14ac:dyDescent="0.15">
      <c r="A14" s="171" t="str">
        <f t="shared" si="1"/>
        <v>2025-08</v>
      </c>
      <c r="B14" s="135">
        <f t="shared" si="0"/>
        <v>18.494598</v>
      </c>
      <c r="D14" s="297" t="s">
        <v>204</v>
      </c>
      <c r="E14" s="280">
        <v>18494598</v>
      </c>
    </row>
    <row r="15" spans="1:6" ht="14" x14ac:dyDescent="0.15">
      <c r="A15" s="171" t="str">
        <f t="shared" si="1"/>
        <v>2025-09</v>
      </c>
      <c r="B15" s="135">
        <f t="shared" si="0"/>
        <v>16.384523000000002</v>
      </c>
      <c r="D15" s="297" t="s">
        <v>205</v>
      </c>
      <c r="E15" s="280">
        <v>16384523</v>
      </c>
    </row>
    <row r="16" spans="1:6" x14ac:dyDescent="0.15">
      <c r="A16" s="172" t="s">
        <v>15</v>
      </c>
      <c r="B16" s="135">
        <f>SUM(B4:B15)</f>
        <v>356.86886799999996</v>
      </c>
      <c r="D16" s="172" t="s">
        <v>15</v>
      </c>
      <c r="E16" s="173">
        <f>SUM(E4:E15)</f>
        <v>356868868</v>
      </c>
    </row>
    <row r="17" spans="1:5" x14ac:dyDescent="0.15">
      <c r="A17" s="139" t="s">
        <v>29</v>
      </c>
      <c r="B17" s="180">
        <f>AVERAGE(B4:B15)</f>
        <v>29.739072333333329</v>
      </c>
      <c r="D17" s="67" t="s">
        <v>144</v>
      </c>
    </row>
    <row r="18" spans="1:5" x14ac:dyDescent="0.15">
      <c r="A18" s="292" t="s">
        <v>190</v>
      </c>
      <c r="B18" s="293">
        <v>285.487684</v>
      </c>
      <c r="C18" s="67" t="s">
        <v>186</v>
      </c>
    </row>
    <row r="20" spans="1:5" x14ac:dyDescent="0.15">
      <c r="A20" s="67" t="s">
        <v>30</v>
      </c>
      <c r="B20" s="138"/>
      <c r="C20" s="62"/>
      <c r="D20" s="62"/>
      <c r="E20" s="62"/>
    </row>
    <row r="21" spans="1:5" x14ac:dyDescent="0.15">
      <c r="A21" s="139" t="s">
        <v>16</v>
      </c>
      <c r="B21" s="140" t="s">
        <v>73</v>
      </c>
    </row>
    <row r="22" spans="1:5" x14ac:dyDescent="0.15">
      <c r="A22" s="141" t="str">
        <f>A4</f>
        <v>2024-10</v>
      </c>
      <c r="B22" s="147">
        <f t="shared" ref="B22:B33" si="2">B4-B$17</f>
        <v>4.1729516666666733</v>
      </c>
      <c r="C22" s="73"/>
      <c r="D22" s="73"/>
    </row>
    <row r="23" spans="1:5" x14ac:dyDescent="0.15">
      <c r="A23" s="141" t="str">
        <f t="shared" ref="A23:A33" si="3">A5</f>
        <v>2024-11</v>
      </c>
      <c r="B23" s="147">
        <f t="shared" si="2"/>
        <v>5.5714386666666691</v>
      </c>
    </row>
    <row r="24" spans="1:5" x14ac:dyDescent="0.15">
      <c r="A24" s="141" t="str">
        <f t="shared" si="3"/>
        <v>2024-12</v>
      </c>
      <c r="B24" s="147">
        <f t="shared" si="2"/>
        <v>4.7481156666666742</v>
      </c>
    </row>
    <row r="25" spans="1:5" x14ac:dyDescent="0.15">
      <c r="A25" s="141" t="str">
        <f t="shared" si="3"/>
        <v>2025-01</v>
      </c>
      <c r="B25" s="147">
        <f t="shared" si="2"/>
        <v>5.2456666666666685</v>
      </c>
    </row>
    <row r="26" spans="1:5" x14ac:dyDescent="0.15">
      <c r="A26" s="141" t="str">
        <f t="shared" si="3"/>
        <v>2025-02</v>
      </c>
      <c r="B26" s="147">
        <f t="shared" si="2"/>
        <v>1.4352046666666709</v>
      </c>
    </row>
    <row r="27" spans="1:5" x14ac:dyDescent="0.15">
      <c r="A27" s="141" t="str">
        <f t="shared" si="3"/>
        <v>2025-03</v>
      </c>
      <c r="B27" s="147">
        <f t="shared" si="2"/>
        <v>3.7466216666666732</v>
      </c>
    </row>
    <row r="28" spans="1:5" x14ac:dyDescent="0.15">
      <c r="A28" s="141" t="str">
        <f t="shared" si="3"/>
        <v>2025-04</v>
      </c>
      <c r="B28" s="147">
        <f t="shared" si="2"/>
        <v>0.42554266666667218</v>
      </c>
    </row>
    <row r="29" spans="1:5" x14ac:dyDescent="0.15">
      <c r="A29" s="141" t="str">
        <f t="shared" si="3"/>
        <v>2025-05</v>
      </c>
      <c r="B29" s="147">
        <f t="shared" si="2"/>
        <v>6.1923336666666735</v>
      </c>
    </row>
    <row r="30" spans="1:5" x14ac:dyDescent="0.15">
      <c r="A30" s="141" t="str">
        <f t="shared" si="3"/>
        <v>2025-06</v>
      </c>
      <c r="B30" s="147">
        <f t="shared" si="2"/>
        <v>0.97942666666667222</v>
      </c>
    </row>
    <row r="31" spans="1:5" x14ac:dyDescent="0.15">
      <c r="A31" s="141" t="str">
        <f t="shared" si="3"/>
        <v>2025-07</v>
      </c>
      <c r="B31" s="147">
        <f t="shared" si="2"/>
        <v>-7.9182783333333298</v>
      </c>
    </row>
    <row r="32" spans="1:5" x14ac:dyDescent="0.15">
      <c r="A32" s="141" t="str">
        <f t="shared" si="3"/>
        <v>2025-08</v>
      </c>
      <c r="B32" s="147">
        <f t="shared" si="2"/>
        <v>-11.244474333333329</v>
      </c>
    </row>
    <row r="33" spans="1:5" x14ac:dyDescent="0.15">
      <c r="A33" s="141" t="str">
        <f t="shared" si="3"/>
        <v>2025-09</v>
      </c>
      <c r="B33" s="147">
        <f t="shared" si="2"/>
        <v>-13.354549333333328</v>
      </c>
    </row>
    <row r="34" spans="1:5" x14ac:dyDescent="0.15">
      <c r="A34" s="139" t="s">
        <v>11</v>
      </c>
      <c r="B34" s="151">
        <f>SUM(B22:B33)</f>
        <v>5.6843418860808015E-14</v>
      </c>
    </row>
    <row r="35" spans="1:5" x14ac:dyDescent="0.15">
      <c r="B35" s="74"/>
      <c r="C35" s="74"/>
      <c r="D35" s="74"/>
      <c r="E35" s="74"/>
    </row>
    <row r="36" spans="1:5" x14ac:dyDescent="0.15">
      <c r="A36" s="67" t="s">
        <v>31</v>
      </c>
      <c r="B36" s="138"/>
      <c r="C36" s="62"/>
      <c r="D36" s="62"/>
      <c r="E36" s="62"/>
    </row>
    <row r="37" spans="1:5" x14ac:dyDescent="0.15">
      <c r="A37" s="139" t="s">
        <v>16</v>
      </c>
      <c r="B37" s="140" t="s">
        <v>73</v>
      </c>
    </row>
    <row r="38" spans="1:5" x14ac:dyDescent="0.15">
      <c r="A38" s="141" t="str">
        <f>A22</f>
        <v>2024-10</v>
      </c>
      <c r="B38" s="147">
        <f>B4-B3</f>
        <v>6.1059320000000028</v>
      </c>
    </row>
    <row r="39" spans="1:5" x14ac:dyDescent="0.15">
      <c r="A39" s="141" t="str">
        <f t="shared" ref="A39:A49" si="4">A23</f>
        <v>2024-11</v>
      </c>
      <c r="B39" s="147">
        <f>B5-B4</f>
        <v>1.3984869999999958</v>
      </c>
    </row>
    <row r="40" spans="1:5" x14ac:dyDescent="0.15">
      <c r="A40" s="141" t="str">
        <f t="shared" si="4"/>
        <v>2024-12</v>
      </c>
      <c r="B40" s="147">
        <f t="shared" ref="B40:B49" si="5">B6-B5</f>
        <v>-0.82332299999999492</v>
      </c>
    </row>
    <row r="41" spans="1:5" x14ac:dyDescent="0.15">
      <c r="A41" s="141" t="str">
        <f>A25</f>
        <v>2025-01</v>
      </c>
      <c r="B41" s="147">
        <f t="shared" si="5"/>
        <v>0.4975509999999943</v>
      </c>
    </row>
    <row r="42" spans="1:5" x14ac:dyDescent="0.15">
      <c r="A42" s="141" t="str">
        <f>A26</f>
        <v>2025-02</v>
      </c>
      <c r="B42" s="147">
        <f t="shared" si="5"/>
        <v>-3.8104619999999976</v>
      </c>
    </row>
    <row r="43" spans="1:5" x14ac:dyDescent="0.15">
      <c r="A43" s="141" t="str">
        <f t="shared" si="4"/>
        <v>2025-03</v>
      </c>
      <c r="B43" s="147">
        <f t="shared" si="5"/>
        <v>2.3114170000000023</v>
      </c>
    </row>
    <row r="44" spans="1:5" x14ac:dyDescent="0.15">
      <c r="A44" s="141" t="str">
        <f t="shared" si="4"/>
        <v>2025-04</v>
      </c>
      <c r="B44" s="147">
        <f t="shared" si="5"/>
        <v>-3.321079000000001</v>
      </c>
    </row>
    <row r="45" spans="1:5" x14ac:dyDescent="0.15">
      <c r="A45" s="141" t="str">
        <f t="shared" si="4"/>
        <v>2025-05</v>
      </c>
      <c r="B45" s="147">
        <f t="shared" si="5"/>
        <v>5.7667910000000013</v>
      </c>
    </row>
    <row r="46" spans="1:5" x14ac:dyDescent="0.15">
      <c r="A46" s="141" t="str">
        <f t="shared" si="4"/>
        <v>2025-06</v>
      </c>
      <c r="B46" s="147">
        <f t="shared" si="5"/>
        <v>-5.2129070000000013</v>
      </c>
    </row>
    <row r="47" spans="1:5" x14ac:dyDescent="0.15">
      <c r="A47" s="141" t="str">
        <f t="shared" si="4"/>
        <v>2025-07</v>
      </c>
      <c r="B47" s="147">
        <f t="shared" si="5"/>
        <v>-8.897705000000002</v>
      </c>
    </row>
    <row r="48" spans="1:5" x14ac:dyDescent="0.15">
      <c r="A48" s="141" t="str">
        <f t="shared" si="4"/>
        <v>2025-08</v>
      </c>
      <c r="B48" s="147">
        <f t="shared" si="5"/>
        <v>-3.3261959999999995</v>
      </c>
    </row>
    <row r="49" spans="1:6" x14ac:dyDescent="0.15">
      <c r="A49" s="141" t="str">
        <f t="shared" si="4"/>
        <v>2025-09</v>
      </c>
      <c r="B49" s="147">
        <f t="shared" si="5"/>
        <v>-2.1100749999999984</v>
      </c>
    </row>
    <row r="50" spans="1:6" x14ac:dyDescent="0.15">
      <c r="A50" s="139" t="s">
        <v>11</v>
      </c>
      <c r="B50" s="147">
        <f>SUM(B38:B49)</f>
        <v>-11.421568999999998</v>
      </c>
    </row>
    <row r="54" spans="1:6" x14ac:dyDescent="0.15">
      <c r="A54" s="66" t="s">
        <v>33</v>
      </c>
    </row>
    <row r="55" spans="1:6" ht="14" x14ac:dyDescent="0.15">
      <c r="A55" s="170" t="s">
        <v>23</v>
      </c>
      <c r="B55" s="140" t="s">
        <v>73</v>
      </c>
      <c r="D55" s="68" t="s">
        <v>34</v>
      </c>
      <c r="E55" s="69" t="s">
        <v>73</v>
      </c>
    </row>
    <row r="56" spans="1:6" ht="14" x14ac:dyDescent="0.15">
      <c r="A56" s="171" t="str">
        <f>D56</f>
        <v>2024-09</v>
      </c>
      <c r="B56" s="135">
        <f t="shared" ref="B56:B68" si="6">E56/1024</f>
        <v>245.2246033050948</v>
      </c>
      <c r="D56" s="206" t="str">
        <f>D3</f>
        <v>2024-09</v>
      </c>
      <c r="E56" s="298">
        <v>251109.99378441708</v>
      </c>
      <c r="F56" s="99" t="s">
        <v>89</v>
      </c>
    </row>
    <row r="57" spans="1:6" ht="14" x14ac:dyDescent="0.15">
      <c r="A57" s="171" t="str">
        <f t="shared" ref="A57:A68" si="7">D57</f>
        <v>2024-10</v>
      </c>
      <c r="B57" s="135">
        <f t="shared" si="6"/>
        <v>153.87721424895034</v>
      </c>
      <c r="D57" s="206" t="str">
        <f t="shared" ref="D57:D68" si="8">D4</f>
        <v>2024-10</v>
      </c>
      <c r="E57" s="298">
        <v>157570.26739092515</v>
      </c>
    </row>
    <row r="58" spans="1:6" ht="14" x14ac:dyDescent="0.15">
      <c r="A58" s="171" t="str">
        <f t="shared" si="7"/>
        <v>2024-11</v>
      </c>
      <c r="B58" s="135">
        <f t="shared" si="6"/>
        <v>150.79967665242992</v>
      </c>
      <c r="D58" s="206" t="str">
        <f t="shared" si="8"/>
        <v>2024-11</v>
      </c>
      <c r="E58" s="298">
        <v>154418.86889208824</v>
      </c>
    </row>
    <row r="59" spans="1:6" ht="14" x14ac:dyDescent="0.15">
      <c r="A59" s="171" t="str">
        <f t="shared" si="7"/>
        <v>2024-12</v>
      </c>
      <c r="B59" s="135">
        <f t="shared" si="6"/>
        <v>146.3297316096257</v>
      </c>
      <c r="D59" s="206" t="str">
        <f t="shared" si="8"/>
        <v>2024-12</v>
      </c>
      <c r="E59" s="298">
        <v>149841.64516825671</v>
      </c>
    </row>
    <row r="60" spans="1:6" ht="14" x14ac:dyDescent="0.15">
      <c r="A60" s="171" t="str">
        <f t="shared" si="7"/>
        <v>2025-01</v>
      </c>
      <c r="B60" s="135">
        <f t="shared" si="6"/>
        <v>154.83562255761416</v>
      </c>
      <c r="D60" s="206" t="str">
        <f t="shared" si="8"/>
        <v>2025-01</v>
      </c>
      <c r="E60" s="298">
        <v>158551.6774989969</v>
      </c>
    </row>
    <row r="61" spans="1:6" ht="14" x14ac:dyDescent="0.15">
      <c r="A61" s="171" t="str">
        <f t="shared" si="7"/>
        <v>2025-02</v>
      </c>
      <c r="B61" s="135">
        <f t="shared" si="6"/>
        <v>140.11776126266594</v>
      </c>
      <c r="D61" s="206" t="str">
        <f t="shared" si="8"/>
        <v>2025-02</v>
      </c>
      <c r="E61" s="298">
        <v>143480.58753296992</v>
      </c>
    </row>
    <row r="62" spans="1:6" ht="14" x14ac:dyDescent="0.15">
      <c r="A62" s="171" t="str">
        <f t="shared" si="7"/>
        <v>2025-03</v>
      </c>
      <c r="B62" s="135">
        <f t="shared" si="6"/>
        <v>148.36027935796551</v>
      </c>
      <c r="D62" s="206" t="str">
        <f t="shared" si="8"/>
        <v>2025-03</v>
      </c>
      <c r="E62" s="298">
        <v>151920.92606255668</v>
      </c>
    </row>
    <row r="63" spans="1:6" ht="14" x14ac:dyDescent="0.15">
      <c r="A63" s="171" t="str">
        <f t="shared" si="7"/>
        <v>2025-04</v>
      </c>
      <c r="B63" s="135">
        <f t="shared" si="6"/>
        <v>218.71722737901356</v>
      </c>
      <c r="D63" s="206" t="str">
        <f t="shared" si="8"/>
        <v>2025-04</v>
      </c>
      <c r="E63" s="298">
        <v>223966.44083610989</v>
      </c>
    </row>
    <row r="64" spans="1:6" ht="14" x14ac:dyDescent="0.15">
      <c r="A64" s="171" t="str">
        <f t="shared" si="7"/>
        <v>2025-05</v>
      </c>
      <c r="B64" s="135">
        <f t="shared" si="6"/>
        <v>185.31825397555968</v>
      </c>
      <c r="D64" s="206" t="str">
        <f t="shared" si="8"/>
        <v>2025-05</v>
      </c>
      <c r="E64" s="298">
        <v>189765.89207097312</v>
      </c>
    </row>
    <row r="65" spans="1:5" ht="14" x14ac:dyDescent="0.15">
      <c r="A65" s="171" t="str">
        <f t="shared" si="7"/>
        <v>2025-06</v>
      </c>
      <c r="B65" s="135">
        <f t="shared" si="6"/>
        <v>163.06763803099761</v>
      </c>
      <c r="D65" s="206" t="str">
        <f t="shared" si="8"/>
        <v>2025-06</v>
      </c>
      <c r="E65" s="298">
        <v>166981.26134374156</v>
      </c>
    </row>
    <row r="66" spans="1:5" ht="14" x14ac:dyDescent="0.15">
      <c r="A66" s="171" t="str">
        <f t="shared" si="7"/>
        <v>2025-07</v>
      </c>
      <c r="B66" s="135">
        <f t="shared" si="6"/>
        <v>190.90399069167216</v>
      </c>
      <c r="D66" s="206" t="str">
        <f t="shared" si="8"/>
        <v>2025-07</v>
      </c>
      <c r="E66" s="298">
        <v>195485.6864682723</v>
      </c>
    </row>
    <row r="67" spans="1:5" ht="14" x14ac:dyDescent="0.15">
      <c r="A67" s="171" t="str">
        <f t="shared" si="7"/>
        <v>2025-08</v>
      </c>
      <c r="B67" s="135">
        <f t="shared" si="6"/>
        <v>225.04553224711691</v>
      </c>
      <c r="D67" s="206" t="str">
        <f t="shared" si="8"/>
        <v>2025-08</v>
      </c>
      <c r="E67" s="298">
        <v>230446.62502104772</v>
      </c>
    </row>
    <row r="68" spans="1:5" ht="14" x14ac:dyDescent="0.15">
      <c r="A68" s="171" t="str">
        <f t="shared" si="7"/>
        <v>2025-09</v>
      </c>
      <c r="B68" s="135">
        <f t="shared" si="6"/>
        <v>170.22783100651372</v>
      </c>
      <c r="D68" s="206" t="str">
        <f t="shared" si="8"/>
        <v>2025-09</v>
      </c>
      <c r="E68" s="298">
        <v>174313.29895067005</v>
      </c>
    </row>
    <row r="69" spans="1:5" x14ac:dyDescent="0.15">
      <c r="A69" s="188" t="s">
        <v>111</v>
      </c>
      <c r="B69" s="135">
        <f>SUM(B57:B68)</f>
        <v>2047.600759020125</v>
      </c>
      <c r="D69" s="207" t="s">
        <v>15</v>
      </c>
      <c r="E69" s="135">
        <f>SUM(E57:E68)</f>
        <v>2096743.177236608</v>
      </c>
    </row>
    <row r="70" spans="1:5" x14ac:dyDescent="0.15">
      <c r="A70" s="67" t="s">
        <v>29</v>
      </c>
      <c r="B70" s="70">
        <f>AVERAGE(B57:B68)</f>
        <v>170.63339658501042</v>
      </c>
      <c r="D70" s="67" t="s">
        <v>144</v>
      </c>
    </row>
    <row r="71" spans="1:5" x14ac:dyDescent="0.15">
      <c r="A71" s="292" t="s">
        <v>190</v>
      </c>
      <c r="B71" s="293">
        <v>2605.1660445511593</v>
      </c>
      <c r="C71" s="67" t="s">
        <v>186</v>
      </c>
    </row>
    <row r="73" spans="1:5" x14ac:dyDescent="0.15">
      <c r="A73" s="67" t="s">
        <v>30</v>
      </c>
      <c r="B73" s="138"/>
      <c r="C73" s="62"/>
      <c r="D73" s="62"/>
      <c r="E73" s="62"/>
    </row>
    <row r="74" spans="1:5" x14ac:dyDescent="0.15">
      <c r="A74" s="139" t="s">
        <v>16</v>
      </c>
      <c r="B74" s="140" t="s">
        <v>73</v>
      </c>
    </row>
    <row r="75" spans="1:5" x14ac:dyDescent="0.15">
      <c r="A75" s="141" t="str">
        <f>A38</f>
        <v>2024-10</v>
      </c>
      <c r="B75" s="147">
        <f>B57-B$70</f>
        <v>-16.756182336060078</v>
      </c>
      <c r="C75" s="73"/>
      <c r="D75" s="73"/>
    </row>
    <row r="76" spans="1:5" x14ac:dyDescent="0.15">
      <c r="A76" s="141" t="str">
        <f t="shared" ref="A76:A86" si="9">A39</f>
        <v>2024-11</v>
      </c>
      <c r="B76" s="147">
        <f t="shared" ref="B76:B86" si="10">B58-B$70</f>
        <v>-19.833719932580493</v>
      </c>
    </row>
    <row r="77" spans="1:5" x14ac:dyDescent="0.15">
      <c r="A77" s="141" t="str">
        <f t="shared" si="9"/>
        <v>2024-12</v>
      </c>
      <c r="B77" s="147">
        <f t="shared" si="10"/>
        <v>-24.30366497538472</v>
      </c>
    </row>
    <row r="78" spans="1:5" x14ac:dyDescent="0.15">
      <c r="A78" s="141" t="str">
        <f t="shared" si="9"/>
        <v>2025-01</v>
      </c>
      <c r="B78" s="147">
        <f t="shared" si="10"/>
        <v>-15.797774027396258</v>
      </c>
    </row>
    <row r="79" spans="1:5" x14ac:dyDescent="0.15">
      <c r="A79" s="141" t="str">
        <f t="shared" si="9"/>
        <v>2025-02</v>
      </c>
      <c r="B79" s="147">
        <f t="shared" si="10"/>
        <v>-30.51563532234448</v>
      </c>
    </row>
    <row r="80" spans="1:5" x14ac:dyDescent="0.15">
      <c r="A80" s="141" t="str">
        <f t="shared" si="9"/>
        <v>2025-03</v>
      </c>
      <c r="B80" s="147">
        <f t="shared" si="10"/>
        <v>-22.273117227044906</v>
      </c>
    </row>
    <row r="81" spans="1:5" x14ac:dyDescent="0.15">
      <c r="A81" s="141" t="str">
        <f t="shared" si="9"/>
        <v>2025-04</v>
      </c>
      <c r="B81" s="147">
        <f t="shared" si="10"/>
        <v>48.083830794003148</v>
      </c>
    </row>
    <row r="82" spans="1:5" x14ac:dyDescent="0.15">
      <c r="A82" s="141" t="str">
        <f t="shared" si="9"/>
        <v>2025-05</v>
      </c>
      <c r="B82" s="147">
        <f t="shared" si="10"/>
        <v>14.684857390549269</v>
      </c>
    </row>
    <row r="83" spans="1:5" x14ac:dyDescent="0.15">
      <c r="A83" s="141" t="str">
        <f t="shared" si="9"/>
        <v>2025-06</v>
      </c>
      <c r="B83" s="147">
        <f t="shared" si="10"/>
        <v>-7.5657585540128025</v>
      </c>
    </row>
    <row r="84" spans="1:5" x14ac:dyDescent="0.15">
      <c r="A84" s="141" t="str">
        <f t="shared" si="9"/>
        <v>2025-07</v>
      </c>
      <c r="B84" s="147">
        <f t="shared" si="10"/>
        <v>20.270594106661747</v>
      </c>
    </row>
    <row r="85" spans="1:5" x14ac:dyDescent="0.15">
      <c r="A85" s="141" t="str">
        <f t="shared" si="9"/>
        <v>2025-08</v>
      </c>
      <c r="B85" s="147">
        <f t="shared" si="10"/>
        <v>54.412135662106493</v>
      </c>
    </row>
    <row r="86" spans="1:5" x14ac:dyDescent="0.15">
      <c r="A86" s="141" t="str">
        <f t="shared" si="9"/>
        <v>2025-09</v>
      </c>
      <c r="B86" s="147">
        <f t="shared" si="10"/>
        <v>-0.40556557849669161</v>
      </c>
    </row>
    <row r="87" spans="1:5" x14ac:dyDescent="0.15">
      <c r="A87" s="139" t="s">
        <v>11</v>
      </c>
      <c r="B87" s="151">
        <f>SUM(B75:B86)</f>
        <v>2.2737367544323206E-13</v>
      </c>
    </row>
    <row r="88" spans="1:5" x14ac:dyDescent="0.15">
      <c r="B88" s="74"/>
      <c r="C88" s="74"/>
      <c r="D88" s="74"/>
      <c r="E88" s="74"/>
    </row>
    <row r="89" spans="1:5" x14ac:dyDescent="0.15">
      <c r="A89" s="67" t="s">
        <v>31</v>
      </c>
      <c r="B89" s="71"/>
      <c r="C89" s="62"/>
      <c r="D89" s="62"/>
      <c r="E89" s="62"/>
    </row>
    <row r="90" spans="1:5" x14ac:dyDescent="0.15">
      <c r="A90" s="148" t="s">
        <v>16</v>
      </c>
      <c r="B90" s="140" t="s">
        <v>73</v>
      </c>
      <c r="C90" s="72"/>
    </row>
    <row r="91" spans="1:5" x14ac:dyDescent="0.15">
      <c r="A91" s="149" t="str">
        <f>A75</f>
        <v>2024-10</v>
      </c>
      <c r="B91" s="136">
        <f>B57-B56</f>
        <v>-91.347389056144465</v>
      </c>
    </row>
    <row r="92" spans="1:5" x14ac:dyDescent="0.15">
      <c r="A92" s="149" t="str">
        <f t="shared" ref="A92:A102" si="11">A76</f>
        <v>2024-11</v>
      </c>
      <c r="B92" s="136">
        <f>B58-B57</f>
        <v>-3.0775375965204148</v>
      </c>
    </row>
    <row r="93" spans="1:5" x14ac:dyDescent="0.15">
      <c r="A93" s="149" t="str">
        <f t="shared" si="11"/>
        <v>2024-12</v>
      </c>
      <c r="B93" s="136">
        <f t="shared" ref="B93:B102" si="12">B59-B58</f>
        <v>-4.4699450428042269</v>
      </c>
    </row>
    <row r="94" spans="1:5" x14ac:dyDescent="0.15">
      <c r="A94" s="149" t="str">
        <f t="shared" si="11"/>
        <v>2025-01</v>
      </c>
      <c r="B94" s="136">
        <f t="shared" si="12"/>
        <v>8.5058909479884619</v>
      </c>
    </row>
    <row r="95" spans="1:5" x14ac:dyDescent="0.15">
      <c r="A95" s="149" t="str">
        <f t="shared" si="11"/>
        <v>2025-02</v>
      </c>
      <c r="B95" s="136">
        <f t="shared" si="12"/>
        <v>-14.717861294948221</v>
      </c>
    </row>
    <row r="96" spans="1:5" x14ac:dyDescent="0.15">
      <c r="A96" s="149" t="str">
        <f t="shared" si="11"/>
        <v>2025-03</v>
      </c>
      <c r="B96" s="136">
        <f t="shared" si="12"/>
        <v>8.2425180952995731</v>
      </c>
    </row>
    <row r="97" spans="1:12" x14ac:dyDescent="0.15">
      <c r="A97" s="149" t="str">
        <f t="shared" si="11"/>
        <v>2025-04</v>
      </c>
      <c r="B97" s="136">
        <f t="shared" si="12"/>
        <v>70.356948021048055</v>
      </c>
    </row>
    <row r="98" spans="1:12" x14ac:dyDescent="0.15">
      <c r="A98" s="149" t="str">
        <f t="shared" si="11"/>
        <v>2025-05</v>
      </c>
      <c r="B98" s="136">
        <f t="shared" si="12"/>
        <v>-33.39897340345388</v>
      </c>
    </row>
    <row r="99" spans="1:12" x14ac:dyDescent="0.15">
      <c r="A99" s="149" t="str">
        <f t="shared" si="11"/>
        <v>2025-06</v>
      </c>
      <c r="B99" s="136">
        <f t="shared" si="12"/>
        <v>-22.250615944562071</v>
      </c>
    </row>
    <row r="100" spans="1:12" x14ac:dyDescent="0.15">
      <c r="A100" s="149" t="str">
        <f t="shared" si="11"/>
        <v>2025-07</v>
      </c>
      <c r="B100" s="136">
        <f t="shared" si="12"/>
        <v>27.836352660674549</v>
      </c>
    </row>
    <row r="101" spans="1:12" x14ac:dyDescent="0.15">
      <c r="A101" s="149" t="str">
        <f t="shared" si="11"/>
        <v>2025-08</v>
      </c>
      <c r="B101" s="136">
        <f t="shared" si="12"/>
        <v>34.141541555444746</v>
      </c>
    </row>
    <row r="102" spans="1:12" x14ac:dyDescent="0.15">
      <c r="A102" s="149" t="str">
        <f t="shared" si="11"/>
        <v>2025-09</v>
      </c>
      <c r="B102" s="136">
        <f t="shared" si="12"/>
        <v>-54.817701240603185</v>
      </c>
    </row>
    <row r="106" spans="1:12" x14ac:dyDescent="0.15">
      <c r="A106" s="66" t="s">
        <v>35</v>
      </c>
      <c r="D106" s="67" t="s">
        <v>87</v>
      </c>
    </row>
    <row r="107" spans="1:12" ht="14" x14ac:dyDescent="0.15">
      <c r="A107" s="68" t="s">
        <v>18</v>
      </c>
      <c r="B107" s="69" t="s">
        <v>73</v>
      </c>
      <c r="D107" s="67" t="s">
        <v>117</v>
      </c>
      <c r="I107" s="204" t="s">
        <v>145</v>
      </c>
      <c r="J107" s="204"/>
      <c r="K107" s="204"/>
      <c r="L107" s="309" t="s">
        <v>215</v>
      </c>
    </row>
    <row r="108" spans="1:12" ht="14" customHeight="1" x14ac:dyDescent="0.15">
      <c r="A108" s="171" t="str">
        <f>A56</f>
        <v>2024-09</v>
      </c>
      <c r="B108" s="299">
        <v>827</v>
      </c>
      <c r="C108" s="99" t="s">
        <v>89</v>
      </c>
      <c r="I108" s="295">
        <v>2568934</v>
      </c>
      <c r="J108" s="67" t="s">
        <v>211</v>
      </c>
      <c r="L108" s="310" t="s">
        <v>214</v>
      </c>
    </row>
    <row r="109" spans="1:12" ht="14" x14ac:dyDescent="0.15">
      <c r="A109" s="171" t="str">
        <f t="shared" ref="A109:A120" si="13">A57</f>
        <v>2024-10</v>
      </c>
      <c r="B109" s="311">
        <v>1132</v>
      </c>
    </row>
    <row r="110" spans="1:12" ht="14" x14ac:dyDescent="0.15">
      <c r="A110" s="171" t="str">
        <f t="shared" si="13"/>
        <v>2024-11</v>
      </c>
      <c r="B110" s="299">
        <v>1041</v>
      </c>
      <c r="D110" s="246"/>
      <c r="E110" s="246"/>
      <c r="F110" s="246"/>
    </row>
    <row r="111" spans="1:12" ht="14" x14ac:dyDescent="0.15">
      <c r="A111" s="171" t="str">
        <f t="shared" si="13"/>
        <v>2024-12</v>
      </c>
      <c r="B111" s="299">
        <v>821</v>
      </c>
      <c r="D111" s="246"/>
      <c r="E111" s="246"/>
      <c r="F111" s="246"/>
    </row>
    <row r="112" spans="1:12" ht="14" x14ac:dyDescent="0.15">
      <c r="A112" s="171" t="str">
        <f t="shared" si="13"/>
        <v>2025-01</v>
      </c>
      <c r="B112" s="299">
        <v>938</v>
      </c>
      <c r="D112" s="246"/>
      <c r="E112" s="246"/>
      <c r="F112" s="246"/>
    </row>
    <row r="113" spans="1:6" ht="14" x14ac:dyDescent="0.15">
      <c r="A113" s="171" t="str">
        <f t="shared" si="13"/>
        <v>2025-02</v>
      </c>
      <c r="B113" s="299">
        <v>938</v>
      </c>
      <c r="D113" s="246"/>
      <c r="E113" s="246"/>
      <c r="F113" s="246"/>
    </row>
    <row r="114" spans="1:6" ht="14" x14ac:dyDescent="0.15">
      <c r="A114" s="171" t="str">
        <f t="shared" si="13"/>
        <v>2025-03</v>
      </c>
      <c r="B114" s="299">
        <v>1204</v>
      </c>
      <c r="D114" s="246"/>
      <c r="E114" s="246"/>
      <c r="F114" s="246"/>
    </row>
    <row r="115" spans="1:6" ht="14" x14ac:dyDescent="0.15">
      <c r="A115" s="171" t="str">
        <f t="shared" si="13"/>
        <v>2025-04</v>
      </c>
      <c r="B115" s="299">
        <v>1221</v>
      </c>
      <c r="D115" s="246"/>
      <c r="E115" s="246"/>
      <c r="F115" s="246"/>
    </row>
    <row r="116" spans="1:6" ht="14" x14ac:dyDescent="0.15">
      <c r="A116" s="171" t="str">
        <f t="shared" si="13"/>
        <v>2025-05</v>
      </c>
      <c r="B116" s="299">
        <v>1181</v>
      </c>
      <c r="D116" s="246"/>
      <c r="E116" s="246"/>
      <c r="F116" s="246"/>
    </row>
    <row r="117" spans="1:6" ht="14" x14ac:dyDescent="0.15">
      <c r="A117" s="171" t="str">
        <f t="shared" si="13"/>
        <v>2025-06</v>
      </c>
      <c r="B117" s="299">
        <v>1195</v>
      </c>
      <c r="D117" s="246"/>
      <c r="E117" s="246"/>
      <c r="F117" s="246"/>
    </row>
    <row r="118" spans="1:6" ht="14" x14ac:dyDescent="0.15">
      <c r="A118" s="171" t="str">
        <f t="shared" si="13"/>
        <v>2025-07</v>
      </c>
      <c r="B118" s="299">
        <v>1213</v>
      </c>
      <c r="D118" s="246"/>
      <c r="E118" s="246"/>
      <c r="F118" s="246"/>
    </row>
    <row r="119" spans="1:6" ht="14" x14ac:dyDescent="0.15">
      <c r="A119" s="171" t="str">
        <f t="shared" si="13"/>
        <v>2025-08</v>
      </c>
      <c r="B119" s="299">
        <v>1106</v>
      </c>
    </row>
    <row r="120" spans="1:6" ht="14" x14ac:dyDescent="0.15">
      <c r="A120" s="171" t="str">
        <f t="shared" si="13"/>
        <v>2025-09</v>
      </c>
      <c r="B120" s="299">
        <v>1160</v>
      </c>
    </row>
    <row r="121" spans="1:6" x14ac:dyDescent="0.15">
      <c r="A121" s="188" t="s">
        <v>110</v>
      </c>
      <c r="B121" s="137">
        <f>SUM(B108:B120)</f>
        <v>13977</v>
      </c>
    </row>
    <row r="122" spans="1:6" x14ac:dyDescent="0.15">
      <c r="A122" s="67" t="s">
        <v>29</v>
      </c>
      <c r="B122" s="131">
        <f>AVERAGE(B109:B120)</f>
        <v>1095.8333333333333</v>
      </c>
    </row>
    <row r="123" spans="1:6" x14ac:dyDescent="0.15">
      <c r="A123" s="292" t="s">
        <v>210</v>
      </c>
      <c r="B123" s="294">
        <v>14358</v>
      </c>
      <c r="C123" s="174">
        <f>(B123-B124)/B124</f>
        <v>1.5251494899753781</v>
      </c>
      <c r="D123" s="67" t="s">
        <v>88</v>
      </c>
    </row>
    <row r="124" spans="1:6" x14ac:dyDescent="0.15">
      <c r="A124" s="292" t="s">
        <v>168</v>
      </c>
      <c r="B124" s="294">
        <v>5686</v>
      </c>
      <c r="D124" s="67" t="s">
        <v>88</v>
      </c>
    </row>
    <row r="125" spans="1:6" x14ac:dyDescent="0.15">
      <c r="C125" s="62"/>
      <c r="D125" s="62"/>
      <c r="E125" s="62"/>
    </row>
    <row r="126" spans="1:6" x14ac:dyDescent="0.15">
      <c r="A126" s="66" t="s">
        <v>30</v>
      </c>
      <c r="B126" s="138"/>
    </row>
    <row r="127" spans="1:6" x14ac:dyDescent="0.15">
      <c r="A127" s="139" t="s">
        <v>16</v>
      </c>
      <c r="B127" s="140" t="s">
        <v>73</v>
      </c>
      <c r="C127" s="73"/>
      <c r="D127" s="73"/>
    </row>
    <row r="128" spans="1:6" x14ac:dyDescent="0.15">
      <c r="A128" s="141" t="str">
        <f>A91</f>
        <v>2024-10</v>
      </c>
      <c r="B128" s="142">
        <f t="shared" ref="B128:B139" si="14">B109-B$122</f>
        <v>36.166666666666742</v>
      </c>
    </row>
    <row r="129" spans="1:5" x14ac:dyDescent="0.15">
      <c r="A129" s="141" t="str">
        <f t="shared" ref="A129:A139" si="15">A92</f>
        <v>2024-11</v>
      </c>
      <c r="B129" s="142">
        <f>B110-B$122</f>
        <v>-54.833333333333258</v>
      </c>
    </row>
    <row r="130" spans="1:5" x14ac:dyDescent="0.15">
      <c r="A130" s="141" t="str">
        <f t="shared" si="15"/>
        <v>2024-12</v>
      </c>
      <c r="B130" s="142">
        <f>B111-B$122</f>
        <v>-274.83333333333326</v>
      </c>
    </row>
    <row r="131" spans="1:5" x14ac:dyDescent="0.15">
      <c r="A131" s="141" t="str">
        <f t="shared" si="15"/>
        <v>2025-01</v>
      </c>
      <c r="B131" s="142">
        <f t="shared" si="14"/>
        <v>-157.83333333333326</v>
      </c>
    </row>
    <row r="132" spans="1:5" x14ac:dyDescent="0.15">
      <c r="A132" s="141" t="str">
        <f t="shared" si="15"/>
        <v>2025-02</v>
      </c>
      <c r="B132" s="142">
        <f t="shared" si="14"/>
        <v>-157.83333333333326</v>
      </c>
    </row>
    <row r="133" spans="1:5" x14ac:dyDescent="0.15">
      <c r="A133" s="141" t="str">
        <f t="shared" si="15"/>
        <v>2025-03</v>
      </c>
      <c r="B133" s="142">
        <f t="shared" si="14"/>
        <v>108.16666666666674</v>
      </c>
    </row>
    <row r="134" spans="1:5" x14ac:dyDescent="0.15">
      <c r="A134" s="141" t="str">
        <f t="shared" si="15"/>
        <v>2025-04</v>
      </c>
      <c r="B134" s="142">
        <f t="shared" si="14"/>
        <v>125.16666666666674</v>
      </c>
    </row>
    <row r="135" spans="1:5" x14ac:dyDescent="0.15">
      <c r="A135" s="141" t="str">
        <f t="shared" si="15"/>
        <v>2025-05</v>
      </c>
      <c r="B135" s="142">
        <f t="shared" si="14"/>
        <v>85.166666666666742</v>
      </c>
    </row>
    <row r="136" spans="1:5" x14ac:dyDescent="0.15">
      <c r="A136" s="141" t="str">
        <f t="shared" si="15"/>
        <v>2025-06</v>
      </c>
      <c r="B136" s="142">
        <f t="shared" si="14"/>
        <v>99.166666666666742</v>
      </c>
    </row>
    <row r="137" spans="1:5" x14ac:dyDescent="0.15">
      <c r="A137" s="141" t="str">
        <f t="shared" si="15"/>
        <v>2025-07</v>
      </c>
      <c r="B137" s="142">
        <f t="shared" si="14"/>
        <v>117.16666666666674</v>
      </c>
    </row>
    <row r="138" spans="1:5" x14ac:dyDescent="0.15">
      <c r="A138" s="141" t="str">
        <f t="shared" si="15"/>
        <v>2025-08</v>
      </c>
      <c r="B138" s="142">
        <f t="shared" si="14"/>
        <v>10.166666666666742</v>
      </c>
    </row>
    <row r="139" spans="1:5" x14ac:dyDescent="0.15">
      <c r="A139" s="141" t="str">
        <f t="shared" si="15"/>
        <v>2025-09</v>
      </c>
      <c r="B139" s="142">
        <f t="shared" si="14"/>
        <v>64.166666666666742</v>
      </c>
    </row>
    <row r="140" spans="1:5" x14ac:dyDescent="0.15">
      <c r="A140" s="139" t="s">
        <v>11</v>
      </c>
      <c r="B140" s="143">
        <f>SUM(B128:B139)</f>
        <v>9.0949470177292824E-13</v>
      </c>
      <c r="C140" s="74" t="s">
        <v>123</v>
      </c>
      <c r="D140" s="74"/>
      <c r="E140" s="74"/>
    </row>
    <row r="141" spans="1:5" x14ac:dyDescent="0.15">
      <c r="B141" s="74"/>
      <c r="C141" s="62"/>
      <c r="D141" s="62"/>
      <c r="E141" s="62"/>
    </row>
    <row r="142" spans="1:5" x14ac:dyDescent="0.15">
      <c r="A142" s="144" t="s">
        <v>31</v>
      </c>
      <c r="B142" s="145"/>
    </row>
    <row r="143" spans="1:5" x14ac:dyDescent="0.15">
      <c r="A143" s="146" t="s">
        <v>16</v>
      </c>
      <c r="B143" s="140" t="s">
        <v>73</v>
      </c>
    </row>
    <row r="144" spans="1:5" x14ac:dyDescent="0.15">
      <c r="A144" s="141" t="str">
        <f>A128</f>
        <v>2024-10</v>
      </c>
      <c r="B144" s="147">
        <f>B109-B108</f>
        <v>305</v>
      </c>
    </row>
    <row r="145" spans="1:5" x14ac:dyDescent="0.15">
      <c r="A145" s="141" t="str">
        <f t="shared" ref="A145:A155" si="16">A129</f>
        <v>2024-11</v>
      </c>
      <c r="B145" s="147">
        <f>B110-B109</f>
        <v>-91</v>
      </c>
    </row>
    <row r="146" spans="1:5" x14ac:dyDescent="0.15">
      <c r="A146" s="141" t="str">
        <f t="shared" si="16"/>
        <v>2024-12</v>
      </c>
      <c r="B146" s="147">
        <f>B111-B110</f>
        <v>-220</v>
      </c>
    </row>
    <row r="147" spans="1:5" x14ac:dyDescent="0.15">
      <c r="A147" s="141" t="str">
        <f t="shared" si="16"/>
        <v>2025-01</v>
      </c>
      <c r="B147" s="147">
        <f>B112-B111</f>
        <v>117</v>
      </c>
    </row>
    <row r="148" spans="1:5" x14ac:dyDescent="0.15">
      <c r="A148" s="141" t="str">
        <f t="shared" si="16"/>
        <v>2025-02</v>
      </c>
      <c r="B148" s="147">
        <f t="shared" ref="B148:B155" si="17">B113-B112</f>
        <v>0</v>
      </c>
    </row>
    <row r="149" spans="1:5" x14ac:dyDescent="0.15">
      <c r="A149" s="141" t="str">
        <f t="shared" si="16"/>
        <v>2025-03</v>
      </c>
      <c r="B149" s="147">
        <f t="shared" si="17"/>
        <v>266</v>
      </c>
    </row>
    <row r="150" spans="1:5" x14ac:dyDescent="0.15">
      <c r="A150" s="141" t="str">
        <f t="shared" si="16"/>
        <v>2025-04</v>
      </c>
      <c r="B150" s="147">
        <f t="shared" si="17"/>
        <v>17</v>
      </c>
    </row>
    <row r="151" spans="1:5" x14ac:dyDescent="0.15">
      <c r="A151" s="141" t="str">
        <f t="shared" si="16"/>
        <v>2025-05</v>
      </c>
      <c r="B151" s="147">
        <f t="shared" si="17"/>
        <v>-40</v>
      </c>
    </row>
    <row r="152" spans="1:5" x14ac:dyDescent="0.15">
      <c r="A152" s="141" t="str">
        <f t="shared" si="16"/>
        <v>2025-06</v>
      </c>
      <c r="B152" s="147">
        <f t="shared" si="17"/>
        <v>14</v>
      </c>
    </row>
    <row r="153" spans="1:5" x14ac:dyDescent="0.15">
      <c r="A153" s="141" t="str">
        <f t="shared" si="16"/>
        <v>2025-07</v>
      </c>
      <c r="B153" s="147">
        <f t="shared" si="17"/>
        <v>18</v>
      </c>
    </row>
    <row r="154" spans="1:5" x14ac:dyDescent="0.15">
      <c r="A154" s="141" t="str">
        <f t="shared" si="16"/>
        <v>2025-08</v>
      </c>
      <c r="B154" s="147">
        <f t="shared" si="17"/>
        <v>-107</v>
      </c>
    </row>
    <row r="155" spans="1:5" ht="12.75" customHeight="1" x14ac:dyDescent="0.15">
      <c r="A155" s="141" t="str">
        <f t="shared" si="16"/>
        <v>2025-09</v>
      </c>
      <c r="B155" s="147">
        <f t="shared" si="17"/>
        <v>54</v>
      </c>
    </row>
    <row r="157" spans="1:5" x14ac:dyDescent="0.15">
      <c r="C157" s="63"/>
      <c r="D157"/>
      <c r="E157"/>
    </row>
    <row r="158" spans="1:5" x14ac:dyDescent="0.15">
      <c r="A158" s="66" t="s">
        <v>75</v>
      </c>
      <c r="B158" s="63"/>
      <c r="C158" s="63"/>
    </row>
    <row r="159" spans="1:5" x14ac:dyDescent="0.15">
      <c r="A159" s="242" t="s">
        <v>47</v>
      </c>
      <c r="B159" s="243" t="s">
        <v>76</v>
      </c>
      <c r="C159" s="243" t="s">
        <v>77</v>
      </c>
      <c r="D159" s="70"/>
    </row>
    <row r="160" spans="1:5" x14ac:dyDescent="0.15">
      <c r="A160" s="244" t="s">
        <v>39</v>
      </c>
      <c r="B160" s="205">
        <f t="shared" ref="B160:B165" si="18">C160/52</f>
        <v>0</v>
      </c>
      <c r="C160" s="205"/>
      <c r="D160" s="70"/>
    </row>
    <row r="161" spans="1:8" ht="14" x14ac:dyDescent="0.15">
      <c r="A161" s="245" t="s">
        <v>40</v>
      </c>
      <c r="B161" s="205">
        <f t="shared" si="18"/>
        <v>0</v>
      </c>
      <c r="C161" s="205"/>
      <c r="D161" s="70"/>
    </row>
    <row r="162" spans="1:8" ht="14" x14ac:dyDescent="0.15">
      <c r="A162" s="179" t="s">
        <v>41</v>
      </c>
      <c r="B162" s="180">
        <f t="shared" si="18"/>
        <v>15.204008052518342</v>
      </c>
      <c r="C162" s="180">
        <v>790.60841873095376</v>
      </c>
      <c r="D162" s="70"/>
      <c r="G162"/>
      <c r="H162"/>
    </row>
    <row r="163" spans="1:8" ht="14" x14ac:dyDescent="0.15">
      <c r="A163" s="179" t="s">
        <v>42</v>
      </c>
      <c r="B163" s="180">
        <f t="shared" si="18"/>
        <v>15.701408315805288</v>
      </c>
      <c r="C163" s="180">
        <v>816.47323242187497</v>
      </c>
      <c r="D163" s="70"/>
    </row>
    <row r="164" spans="1:8" ht="14" x14ac:dyDescent="0.15">
      <c r="A164" s="179" t="s">
        <v>43</v>
      </c>
      <c r="B164" s="180">
        <f t="shared" si="18"/>
        <v>16.356479679987981</v>
      </c>
      <c r="C164" s="180">
        <v>850.53694335937496</v>
      </c>
      <c r="D164" s="70"/>
    </row>
    <row r="165" spans="1:8" ht="12.75" customHeight="1" x14ac:dyDescent="0.15">
      <c r="A165" s="179" t="s">
        <v>45</v>
      </c>
      <c r="B165" s="180">
        <f t="shared" si="18"/>
        <v>16.326743895168047</v>
      </c>
      <c r="C165" s="180">
        <v>848.9906825487385</v>
      </c>
    </row>
    <row r="166" spans="1:8" x14ac:dyDescent="0.15">
      <c r="A166" s="181" t="s">
        <v>72</v>
      </c>
      <c r="B166" s="180">
        <f t="shared" ref="B166:B170" si="19">C166/52</f>
        <v>20.760576923076922</v>
      </c>
      <c r="C166" s="180">
        <v>1079.55</v>
      </c>
    </row>
    <row r="167" spans="1:8" x14ac:dyDescent="0.15">
      <c r="A167" s="181" t="s">
        <v>84</v>
      </c>
      <c r="B167" s="180">
        <f t="shared" si="19"/>
        <v>21.101483846799091</v>
      </c>
      <c r="C167" s="180">
        <v>1097.2771600335527</v>
      </c>
    </row>
    <row r="168" spans="1:8" x14ac:dyDescent="0.15">
      <c r="A168" s="181" t="s">
        <v>91</v>
      </c>
      <c r="B168" s="180">
        <f t="shared" si="19"/>
        <v>18.820522293356575</v>
      </c>
      <c r="C168" s="180">
        <v>978.66715925454184</v>
      </c>
    </row>
    <row r="169" spans="1:8" x14ac:dyDescent="0.15">
      <c r="A169" s="181" t="s">
        <v>115</v>
      </c>
      <c r="B169" s="180">
        <f t="shared" si="19"/>
        <v>36.055543475983356</v>
      </c>
      <c r="C169" s="205">
        <v>1874.8882607511343</v>
      </c>
      <c r="D169" s="67" t="s">
        <v>112</v>
      </c>
    </row>
    <row r="170" spans="1:8" x14ac:dyDescent="0.15">
      <c r="A170" s="181" t="s">
        <v>143</v>
      </c>
      <c r="B170" s="180">
        <f t="shared" si="19"/>
        <v>47.155829052723981</v>
      </c>
      <c r="C170" s="205">
        <v>2452.103110741647</v>
      </c>
    </row>
    <row r="171" spans="1:8" x14ac:dyDescent="0.15">
      <c r="A171" s="181" t="s">
        <v>147</v>
      </c>
      <c r="B171" s="180">
        <v>50.53</v>
      </c>
      <c r="C171" s="205">
        <v>2627.56</v>
      </c>
    </row>
    <row r="172" spans="1:8" x14ac:dyDescent="0.15">
      <c r="A172" s="236" t="s">
        <v>159</v>
      </c>
      <c r="B172" s="205">
        <v>40.376923076923077</v>
      </c>
      <c r="C172" s="205">
        <v>2099.6</v>
      </c>
    </row>
    <row r="173" spans="1:8" x14ac:dyDescent="0.15">
      <c r="A173" s="236" t="s">
        <v>162</v>
      </c>
      <c r="B173" s="205">
        <v>50.393854008085306</v>
      </c>
      <c r="C173" s="205">
        <v>2627.6795304215912</v>
      </c>
    </row>
    <row r="174" spans="1:8" x14ac:dyDescent="0.15">
      <c r="A174" s="236" t="s">
        <v>167</v>
      </c>
      <c r="B174" s="205">
        <v>49.962037514784441</v>
      </c>
      <c r="C174" s="205">
        <v>2605.1633846994746</v>
      </c>
    </row>
    <row r="175" spans="1:8" x14ac:dyDescent="0.15">
      <c r="A175" s="300" t="s">
        <v>209</v>
      </c>
      <c r="B175" s="301">
        <v>61.479274909808545</v>
      </c>
      <c r="C175" s="301">
        <v>3205.7050488685886</v>
      </c>
    </row>
    <row r="176" spans="1:8" x14ac:dyDescent="0.15">
      <c r="D176"/>
      <c r="E176"/>
    </row>
    <row r="177" spans="1:7" ht="14" x14ac:dyDescent="0.15">
      <c r="A177" s="75" t="s">
        <v>36</v>
      </c>
      <c r="B177" s="76" t="s">
        <v>73</v>
      </c>
      <c r="C177" s="77"/>
      <c r="D177"/>
      <c r="E177"/>
    </row>
    <row r="178" spans="1:7" ht="14" x14ac:dyDescent="0.15">
      <c r="A178" s="75" t="s">
        <v>39</v>
      </c>
      <c r="B178" s="78"/>
      <c r="C178"/>
      <c r="D178"/>
      <c r="E178"/>
    </row>
    <row r="179" spans="1:7" ht="14" x14ac:dyDescent="0.15">
      <c r="A179" s="75" t="s">
        <v>40</v>
      </c>
      <c r="B179" s="78"/>
      <c r="C179"/>
      <c r="D179"/>
      <c r="E179"/>
    </row>
    <row r="180" spans="1:7" ht="14" x14ac:dyDescent="0.15">
      <c r="A180" s="75" t="s">
        <v>41</v>
      </c>
      <c r="B180" s="78"/>
      <c r="C180"/>
      <c r="D180"/>
      <c r="E180"/>
    </row>
    <row r="181" spans="1:7" ht="14" x14ac:dyDescent="0.15">
      <c r="A181" s="75" t="s">
        <v>42</v>
      </c>
      <c r="B181" s="78"/>
      <c r="C181"/>
      <c r="D181"/>
      <c r="E181"/>
    </row>
    <row r="182" spans="1:7" ht="14" x14ac:dyDescent="0.15">
      <c r="A182" s="75" t="s">
        <v>43</v>
      </c>
      <c r="B182" s="78"/>
      <c r="C182"/>
      <c r="D182"/>
      <c r="E182"/>
    </row>
    <row r="183" spans="1:7" ht="14" x14ac:dyDescent="0.15">
      <c r="A183" s="75" t="s">
        <v>45</v>
      </c>
      <c r="B183" s="79"/>
      <c r="C183"/>
      <c r="D183"/>
      <c r="E183"/>
    </row>
    <row r="184" spans="1:7" x14ac:dyDescent="0.15">
      <c r="A184"/>
      <c r="B184"/>
      <c r="C184"/>
      <c r="D184"/>
      <c r="E184"/>
    </row>
    <row r="185" spans="1:7" x14ac:dyDescent="0.15">
      <c r="A185"/>
      <c r="B185"/>
      <c r="C185"/>
      <c r="D185"/>
      <c r="E185"/>
    </row>
    <row r="186" spans="1:7" x14ac:dyDescent="0.15">
      <c r="A186"/>
      <c r="B186"/>
      <c r="C186"/>
      <c r="D186"/>
      <c r="E186"/>
    </row>
    <row r="187" spans="1:7" x14ac:dyDescent="0.15">
      <c r="A187" s="31" t="s">
        <v>55</v>
      </c>
      <c r="B187"/>
      <c r="C187"/>
    </row>
    <row r="188" spans="1:7" x14ac:dyDescent="0.15">
      <c r="A188" s="76" t="s">
        <v>16</v>
      </c>
      <c r="B188" s="76" t="s">
        <v>73</v>
      </c>
      <c r="D188" s="67" t="s">
        <v>113</v>
      </c>
    </row>
    <row r="189" spans="1:7" x14ac:dyDescent="0.15">
      <c r="A189" s="80" t="str">
        <f t="shared" ref="A189:A201" si="20">A108</f>
        <v>2024-09</v>
      </c>
      <c r="B189" s="285">
        <v>277107</v>
      </c>
      <c r="C189" s="99" t="s">
        <v>89</v>
      </c>
    </row>
    <row r="190" spans="1:7" x14ac:dyDescent="0.15">
      <c r="A190" s="80" t="str">
        <f t="shared" si="20"/>
        <v>2024-10</v>
      </c>
      <c r="B190" s="285">
        <v>117323</v>
      </c>
    </row>
    <row r="191" spans="1:7" x14ac:dyDescent="0.15">
      <c r="A191" s="80" t="str">
        <f t="shared" si="20"/>
        <v>2024-11</v>
      </c>
      <c r="B191" s="285">
        <v>106672</v>
      </c>
    </row>
    <row r="192" spans="1:7" x14ac:dyDescent="0.15">
      <c r="A192" s="80" t="str">
        <f t="shared" si="20"/>
        <v>2024-12</v>
      </c>
      <c r="B192" s="285">
        <v>46799</v>
      </c>
      <c r="E192" s="387"/>
      <c r="F192" s="387"/>
      <c r="G192" s="387"/>
    </row>
    <row r="193" spans="1:7" x14ac:dyDescent="0.15">
      <c r="A193" s="80" t="str">
        <f t="shared" si="20"/>
        <v>2025-01</v>
      </c>
      <c r="B193" s="285">
        <v>343135</v>
      </c>
      <c r="E193" s="387"/>
      <c r="F193" s="387"/>
      <c r="G193" s="387"/>
    </row>
    <row r="194" spans="1:7" x14ac:dyDescent="0.15">
      <c r="A194" s="80" t="str">
        <f t="shared" si="20"/>
        <v>2025-02</v>
      </c>
      <c r="B194" s="285">
        <v>93041</v>
      </c>
      <c r="E194" s="387"/>
      <c r="F194" s="387"/>
      <c r="G194" s="387"/>
    </row>
    <row r="195" spans="1:7" x14ac:dyDescent="0.15">
      <c r="A195" s="80" t="str">
        <f t="shared" si="20"/>
        <v>2025-03</v>
      </c>
      <c r="B195" s="285">
        <v>169012</v>
      </c>
      <c r="E195" s="387"/>
      <c r="F195" s="387"/>
      <c r="G195" s="387"/>
    </row>
    <row r="196" spans="1:7" x14ac:dyDescent="0.15">
      <c r="A196" s="80" t="str">
        <f t="shared" si="20"/>
        <v>2025-04</v>
      </c>
      <c r="B196" s="285">
        <v>85389</v>
      </c>
      <c r="E196" s="387"/>
      <c r="F196" s="387"/>
      <c r="G196" s="387"/>
    </row>
    <row r="197" spans="1:7" x14ac:dyDescent="0.15">
      <c r="A197" s="80" t="str">
        <f t="shared" si="20"/>
        <v>2025-05</v>
      </c>
      <c r="B197" s="285">
        <v>192484</v>
      </c>
      <c r="E197" s="387"/>
      <c r="F197" s="387"/>
      <c r="G197" s="387"/>
    </row>
    <row r="198" spans="1:7" x14ac:dyDescent="0.15">
      <c r="A198" s="80" t="str">
        <f t="shared" si="20"/>
        <v>2025-06</v>
      </c>
      <c r="B198" s="285">
        <v>322443</v>
      </c>
    </row>
    <row r="199" spans="1:7" x14ac:dyDescent="0.15">
      <c r="A199" s="80" t="str">
        <f t="shared" si="20"/>
        <v>2025-07</v>
      </c>
      <c r="B199" s="285">
        <v>412915</v>
      </c>
    </row>
    <row r="200" spans="1:7" x14ac:dyDescent="0.15">
      <c r="A200" s="80" t="str">
        <f t="shared" si="20"/>
        <v>2025-08</v>
      </c>
      <c r="B200" s="285">
        <v>441171</v>
      </c>
    </row>
    <row r="201" spans="1:7" x14ac:dyDescent="0.15">
      <c r="A201" s="80" t="str">
        <f t="shared" si="20"/>
        <v>2025-09</v>
      </c>
      <c r="B201" s="285">
        <v>146903</v>
      </c>
    </row>
    <row r="202" spans="1:7" x14ac:dyDescent="0.15">
      <c r="A202" s="76" t="s">
        <v>54</v>
      </c>
      <c r="B202" s="152">
        <f>SUM(B190:B201)</f>
        <v>2477287</v>
      </c>
    </row>
    <row r="203" spans="1:7" x14ac:dyDescent="0.15">
      <c r="A203" s="33" t="s">
        <v>29</v>
      </c>
      <c r="B203" s="150">
        <f>AVERAGE(B190:B201)</f>
        <v>206440.58333333334</v>
      </c>
    </row>
    <row r="204" spans="1:7" x14ac:dyDescent="0.15">
      <c r="A204" s="295" t="s">
        <v>210</v>
      </c>
      <c r="B204" s="295">
        <v>2477287</v>
      </c>
      <c r="C204" s="189" t="s">
        <v>119</v>
      </c>
      <c r="D204" s="33"/>
      <c r="E204" s="33"/>
    </row>
    <row r="205" spans="1:7" x14ac:dyDescent="0.15">
      <c r="A205" s="295" t="s">
        <v>168</v>
      </c>
      <c r="B205" s="290">
        <v>1835070</v>
      </c>
      <c r="C205" s="189" t="s">
        <v>119</v>
      </c>
      <c r="D205" s="62"/>
      <c r="E205" s="62"/>
    </row>
    <row r="206" spans="1:7" x14ac:dyDescent="0.15">
      <c r="A206" s="33"/>
      <c r="B206" s="33"/>
      <c r="C206" s="62"/>
    </row>
    <row r="207" spans="1:7" x14ac:dyDescent="0.15">
      <c r="A207" s="67" t="s">
        <v>56</v>
      </c>
      <c r="B207" s="138"/>
      <c r="C207" s="72"/>
    </row>
    <row r="208" spans="1:7" x14ac:dyDescent="0.15">
      <c r="A208" s="139" t="s">
        <v>16</v>
      </c>
      <c r="B208" s="152" t="s">
        <v>73</v>
      </c>
      <c r="C208" s="33"/>
    </row>
    <row r="209" spans="1:5" x14ac:dyDescent="0.15">
      <c r="A209" s="141" t="str">
        <f t="shared" ref="A209:A220" si="21">A144</f>
        <v>2024-10</v>
      </c>
      <c r="B209" s="143">
        <f>B190-B$203</f>
        <v>-89117.583333333343</v>
      </c>
      <c r="C209" s="33"/>
    </row>
    <row r="210" spans="1:5" x14ac:dyDescent="0.15">
      <c r="A210" s="141" t="str">
        <f t="shared" si="21"/>
        <v>2024-11</v>
      </c>
      <c r="B210" s="143">
        <f t="shared" ref="B210:B220" si="22">B191-B$203</f>
        <v>-99768.583333333343</v>
      </c>
      <c r="C210" s="33"/>
    </row>
    <row r="211" spans="1:5" x14ac:dyDescent="0.15">
      <c r="A211" s="141" t="str">
        <f t="shared" si="21"/>
        <v>2024-12</v>
      </c>
      <c r="B211" s="143">
        <f t="shared" si="22"/>
        <v>-159641.58333333334</v>
      </c>
      <c r="C211" s="33"/>
    </row>
    <row r="212" spans="1:5" x14ac:dyDescent="0.15">
      <c r="A212" s="141" t="str">
        <f t="shared" si="21"/>
        <v>2025-01</v>
      </c>
      <c r="B212" s="143">
        <f t="shared" si="22"/>
        <v>136694.41666666666</v>
      </c>
      <c r="C212" s="33"/>
    </row>
    <row r="213" spans="1:5" x14ac:dyDescent="0.15">
      <c r="A213" s="141" t="str">
        <f t="shared" si="21"/>
        <v>2025-02</v>
      </c>
      <c r="B213" s="143">
        <f t="shared" si="22"/>
        <v>-113399.58333333334</v>
      </c>
      <c r="C213" s="33"/>
    </row>
    <row r="214" spans="1:5" x14ac:dyDescent="0.15">
      <c r="A214" s="141" t="str">
        <f t="shared" si="21"/>
        <v>2025-03</v>
      </c>
      <c r="B214" s="143">
        <f t="shared" si="22"/>
        <v>-37428.583333333343</v>
      </c>
      <c r="C214" s="33"/>
    </row>
    <row r="215" spans="1:5" x14ac:dyDescent="0.15">
      <c r="A215" s="141" t="str">
        <f t="shared" si="21"/>
        <v>2025-04</v>
      </c>
      <c r="B215" s="143">
        <f t="shared" si="22"/>
        <v>-121051.58333333334</v>
      </c>
      <c r="C215" s="33"/>
    </row>
    <row r="216" spans="1:5" x14ac:dyDescent="0.15">
      <c r="A216" s="141" t="str">
        <f t="shared" si="21"/>
        <v>2025-05</v>
      </c>
      <c r="B216" s="143">
        <f t="shared" si="22"/>
        <v>-13956.583333333343</v>
      </c>
      <c r="C216" s="33"/>
    </row>
    <row r="217" spans="1:5" x14ac:dyDescent="0.15">
      <c r="A217" s="141" t="str">
        <f t="shared" si="21"/>
        <v>2025-06</v>
      </c>
      <c r="B217" s="143">
        <f t="shared" si="22"/>
        <v>116002.41666666666</v>
      </c>
      <c r="C217" s="33"/>
    </row>
    <row r="218" spans="1:5" x14ac:dyDescent="0.15">
      <c r="A218" s="141" t="str">
        <f t="shared" si="21"/>
        <v>2025-07</v>
      </c>
      <c r="B218" s="143">
        <f t="shared" si="22"/>
        <v>206474.41666666666</v>
      </c>
      <c r="C218" s="33"/>
    </row>
    <row r="219" spans="1:5" x14ac:dyDescent="0.15">
      <c r="A219" s="141" t="str">
        <f t="shared" si="21"/>
        <v>2025-08</v>
      </c>
      <c r="B219" s="143">
        <f t="shared" si="22"/>
        <v>234730.41666666666</v>
      </c>
      <c r="C219" s="33"/>
    </row>
    <row r="220" spans="1:5" x14ac:dyDescent="0.15">
      <c r="A220" s="141" t="str">
        <f t="shared" si="21"/>
        <v>2025-09</v>
      </c>
      <c r="B220" s="143">
        <f t="shared" si="22"/>
        <v>-59537.583333333343</v>
      </c>
      <c r="C220" s="33"/>
      <c r="D220" s="33"/>
      <c r="E220" s="33"/>
    </row>
    <row r="221" spans="1:5" x14ac:dyDescent="0.15">
      <c r="A221" s="139" t="s">
        <v>11</v>
      </c>
      <c r="B221" s="143">
        <f>SUM(B209:B220)</f>
        <v>-1.4551915228366852E-10</v>
      </c>
      <c r="C221" s="33"/>
      <c r="D221" s="81"/>
      <c r="E221" s="81"/>
    </row>
    <row r="222" spans="1:5" x14ac:dyDescent="0.15">
      <c r="B222" s="33"/>
      <c r="C222" s="81"/>
    </row>
    <row r="223" spans="1:5" x14ac:dyDescent="0.15">
      <c r="A223" s="67" t="s">
        <v>57</v>
      </c>
      <c r="B223" s="153"/>
      <c r="C223" s="82"/>
    </row>
    <row r="224" spans="1:5" x14ac:dyDescent="0.15">
      <c r="A224" s="146" t="s">
        <v>16</v>
      </c>
      <c r="B224" s="129" t="s">
        <v>73</v>
      </c>
      <c r="C224" s="33"/>
    </row>
    <row r="225" spans="1:6" x14ac:dyDescent="0.15">
      <c r="A225" s="141" t="str">
        <f>A209</f>
        <v>2024-10</v>
      </c>
      <c r="B225" s="143">
        <f>B190-B189</f>
        <v>-159784</v>
      </c>
      <c r="C225" s="33"/>
    </row>
    <row r="226" spans="1:6" x14ac:dyDescent="0.15">
      <c r="A226" s="141" t="str">
        <f t="shared" ref="A226:A236" si="23">A210</f>
        <v>2024-11</v>
      </c>
      <c r="B226" s="143">
        <f>B191-B190</f>
        <v>-10651</v>
      </c>
      <c r="C226" s="33"/>
    </row>
    <row r="227" spans="1:6" x14ac:dyDescent="0.15">
      <c r="A227" s="141" t="str">
        <f t="shared" si="23"/>
        <v>2024-12</v>
      </c>
      <c r="B227" s="143">
        <f t="shared" ref="B227:B236" si="24">B192-B191</f>
        <v>-59873</v>
      </c>
      <c r="C227" s="33"/>
    </row>
    <row r="228" spans="1:6" x14ac:dyDescent="0.15">
      <c r="A228" s="141" t="str">
        <f t="shared" si="23"/>
        <v>2025-01</v>
      </c>
      <c r="B228" s="143">
        <f t="shared" si="24"/>
        <v>296336</v>
      </c>
      <c r="C228" s="33"/>
    </row>
    <row r="229" spans="1:6" x14ac:dyDescent="0.15">
      <c r="A229" s="141" t="str">
        <f t="shared" si="23"/>
        <v>2025-02</v>
      </c>
      <c r="B229" s="143">
        <f t="shared" si="24"/>
        <v>-250094</v>
      </c>
      <c r="C229" s="33"/>
    </row>
    <row r="230" spans="1:6" x14ac:dyDescent="0.15">
      <c r="A230" s="141" t="str">
        <f t="shared" si="23"/>
        <v>2025-03</v>
      </c>
      <c r="B230" s="143">
        <f t="shared" si="24"/>
        <v>75971</v>
      </c>
      <c r="C230" s="33"/>
    </row>
    <row r="231" spans="1:6" x14ac:dyDescent="0.15">
      <c r="A231" s="141" t="str">
        <f t="shared" si="23"/>
        <v>2025-04</v>
      </c>
      <c r="B231" s="143">
        <f t="shared" si="24"/>
        <v>-83623</v>
      </c>
      <c r="C231" s="33"/>
    </row>
    <row r="232" spans="1:6" x14ac:dyDescent="0.15">
      <c r="A232" s="141" t="str">
        <f t="shared" si="23"/>
        <v>2025-05</v>
      </c>
      <c r="B232" s="143">
        <f t="shared" si="24"/>
        <v>107095</v>
      </c>
      <c r="C232" s="33"/>
    </row>
    <row r="233" spans="1:6" x14ac:dyDescent="0.15">
      <c r="A233" s="141" t="str">
        <f t="shared" si="23"/>
        <v>2025-06</v>
      </c>
      <c r="B233" s="143">
        <f t="shared" si="24"/>
        <v>129959</v>
      </c>
      <c r="C233" s="33"/>
    </row>
    <row r="234" spans="1:6" x14ac:dyDescent="0.15">
      <c r="A234" s="141" t="str">
        <f t="shared" si="23"/>
        <v>2025-07</v>
      </c>
      <c r="B234" s="143">
        <f t="shared" si="24"/>
        <v>90472</v>
      </c>
      <c r="C234" s="33"/>
    </row>
    <row r="235" spans="1:6" x14ac:dyDescent="0.15">
      <c r="A235" s="141" t="str">
        <f t="shared" si="23"/>
        <v>2025-08</v>
      </c>
      <c r="B235" s="143">
        <f t="shared" si="24"/>
        <v>28256</v>
      </c>
      <c r="C235" s="33"/>
      <c r="D235" s="33"/>
      <c r="E235" s="33"/>
    </row>
    <row r="236" spans="1:6" x14ac:dyDescent="0.15">
      <c r="A236" s="141" t="str">
        <f t="shared" si="23"/>
        <v>2025-09</v>
      </c>
      <c r="B236" s="143">
        <f t="shared" si="24"/>
        <v>-294268</v>
      </c>
      <c r="C236" s="33"/>
    </row>
    <row r="237" spans="1:6" x14ac:dyDescent="0.15">
      <c r="B237" s="33"/>
    </row>
    <row r="238" spans="1:6" x14ac:dyDescent="0.15">
      <c r="D238" s="65"/>
    </row>
    <row r="239" spans="1:6" x14ac:dyDescent="0.15">
      <c r="A239" s="31" t="s">
        <v>61</v>
      </c>
      <c r="C239" s="64"/>
      <c r="D239" s="65"/>
      <c r="F239" s="67" t="s">
        <v>113</v>
      </c>
    </row>
    <row r="240" spans="1:6" x14ac:dyDescent="0.15">
      <c r="A240" s="76"/>
      <c r="B240" s="388" t="s">
        <v>73</v>
      </c>
      <c r="C240" s="389"/>
      <c r="D240" s="390"/>
    </row>
    <row r="241" spans="1:9" x14ac:dyDescent="0.15">
      <c r="A241" s="76" t="s">
        <v>60</v>
      </c>
      <c r="B241" s="76" t="s">
        <v>52</v>
      </c>
      <c r="C241" s="76" t="s">
        <v>53</v>
      </c>
      <c r="D241" s="76" t="s">
        <v>51</v>
      </c>
    </row>
    <row r="242" spans="1:9" x14ac:dyDescent="0.15">
      <c r="A242" s="76" t="s">
        <v>39</v>
      </c>
      <c r="B242" s="83"/>
      <c r="C242" s="83"/>
      <c r="D242" s="83"/>
    </row>
    <row r="243" spans="1:9" x14ac:dyDescent="0.15">
      <c r="A243" s="76" t="s">
        <v>40</v>
      </c>
      <c r="B243" s="83"/>
      <c r="C243" s="83"/>
      <c r="D243" s="83"/>
    </row>
    <row r="244" spans="1:9" x14ac:dyDescent="0.15">
      <c r="A244" s="152" t="s">
        <v>41</v>
      </c>
      <c r="B244" s="134">
        <v>592471</v>
      </c>
      <c r="C244" s="134">
        <v>6582527</v>
      </c>
      <c r="D244" s="134">
        <v>325462</v>
      </c>
    </row>
    <row r="245" spans="1:9" x14ac:dyDescent="0.15">
      <c r="A245" s="152" t="s">
        <v>42</v>
      </c>
      <c r="B245" s="134">
        <v>555306</v>
      </c>
      <c r="C245" s="134">
        <v>5791919</v>
      </c>
      <c r="D245" s="134">
        <v>298036</v>
      </c>
      <c r="G245" s="387"/>
      <c r="H245" s="387"/>
      <c r="I245" s="387"/>
    </row>
    <row r="246" spans="1:9" x14ac:dyDescent="0.15">
      <c r="A246" s="152" t="s">
        <v>43</v>
      </c>
      <c r="B246" s="134">
        <v>399036</v>
      </c>
      <c r="C246" s="134">
        <v>4085298</v>
      </c>
      <c r="D246" s="134">
        <v>224482</v>
      </c>
      <c r="G246" s="387"/>
      <c r="H246" s="387"/>
      <c r="I246" s="387"/>
    </row>
    <row r="247" spans="1:9" x14ac:dyDescent="0.15">
      <c r="A247" s="152" t="s">
        <v>45</v>
      </c>
      <c r="B247" s="134">
        <v>349520</v>
      </c>
      <c r="C247" s="134">
        <v>3443353</v>
      </c>
      <c r="D247" s="134">
        <v>198199</v>
      </c>
      <c r="G247" s="387"/>
      <c r="H247" s="387"/>
      <c r="I247" s="387"/>
    </row>
    <row r="248" spans="1:9" x14ac:dyDescent="0.15">
      <c r="A248" s="152" t="s">
        <v>72</v>
      </c>
      <c r="B248" s="134">
        <v>318452</v>
      </c>
      <c r="C248" s="134">
        <v>3076663</v>
      </c>
      <c r="D248" s="134">
        <v>185720</v>
      </c>
      <c r="G248" s="387"/>
      <c r="H248" s="387"/>
      <c r="I248" s="387"/>
    </row>
    <row r="249" spans="1:9" x14ac:dyDescent="0.15">
      <c r="A249" s="152" t="s">
        <v>84</v>
      </c>
      <c r="B249" s="134">
        <v>302452</v>
      </c>
      <c r="C249" s="134">
        <v>2925899</v>
      </c>
      <c r="D249" s="134">
        <v>198199</v>
      </c>
      <c r="G249" s="387"/>
      <c r="H249" s="387"/>
      <c r="I249" s="387"/>
    </row>
    <row r="250" spans="1:9" x14ac:dyDescent="0.15">
      <c r="A250" s="152" t="s">
        <v>91</v>
      </c>
      <c r="B250" s="134">
        <v>294901</v>
      </c>
      <c r="C250" s="134">
        <v>3706912</v>
      </c>
      <c r="D250" s="134">
        <v>197163</v>
      </c>
      <c r="G250" s="387"/>
      <c r="H250" s="387"/>
      <c r="I250" s="387"/>
    </row>
    <row r="251" spans="1:9" x14ac:dyDescent="0.15">
      <c r="A251" s="152" t="s">
        <v>115</v>
      </c>
      <c r="B251" s="134">
        <v>231461</v>
      </c>
      <c r="C251" s="134">
        <v>1897123</v>
      </c>
      <c r="D251" s="134">
        <v>180621</v>
      </c>
      <c r="F251" s="67" t="s">
        <v>118</v>
      </c>
    </row>
    <row r="252" spans="1:9" x14ac:dyDescent="0.15">
      <c r="A252" s="152" t="s">
        <v>143</v>
      </c>
      <c r="B252" s="134">
        <v>652966</v>
      </c>
      <c r="C252" s="134">
        <v>2561596</v>
      </c>
      <c r="D252" s="134">
        <v>537745</v>
      </c>
    </row>
    <row r="253" spans="1:9" x14ac:dyDescent="0.15">
      <c r="A253" s="152" t="s">
        <v>147</v>
      </c>
      <c r="B253" s="134">
        <v>1551417</v>
      </c>
      <c r="C253" s="134">
        <v>4861082</v>
      </c>
      <c r="D253" s="134">
        <v>1064634</v>
      </c>
    </row>
    <row r="254" spans="1:9" x14ac:dyDescent="0.15">
      <c r="A254" s="233" t="s">
        <v>159</v>
      </c>
      <c r="B254" s="205">
        <v>1435391</v>
      </c>
      <c r="C254" s="205">
        <v>3770046</v>
      </c>
      <c r="D254" s="205">
        <v>797027</v>
      </c>
    </row>
    <row r="255" spans="1:9" x14ac:dyDescent="0.15">
      <c r="A255" s="233" t="s">
        <v>162</v>
      </c>
      <c r="B255" s="205">
        <v>2609749</v>
      </c>
      <c r="C255" s="205">
        <v>3944764</v>
      </c>
      <c r="D255" s="205">
        <v>1516462</v>
      </c>
    </row>
    <row r="256" spans="1:9" x14ac:dyDescent="0.15">
      <c r="A256" s="233" t="s">
        <v>167</v>
      </c>
      <c r="B256" s="205">
        <v>3077645</v>
      </c>
      <c r="C256" s="205">
        <v>5281027</v>
      </c>
      <c r="D256" s="205">
        <v>1835070</v>
      </c>
    </row>
    <row r="257" spans="1:10" x14ac:dyDescent="0.15">
      <c r="A257" s="285" t="s">
        <v>209</v>
      </c>
      <c r="B257" s="301">
        <v>6884611</v>
      </c>
      <c r="C257" s="301">
        <v>9880812</v>
      </c>
      <c r="D257" s="301">
        <v>2477287</v>
      </c>
    </row>
    <row r="258" spans="1:10" x14ac:dyDescent="0.15">
      <c r="A258" s="31" t="s">
        <v>55</v>
      </c>
      <c r="B258"/>
      <c r="C258"/>
    </row>
    <row r="259" spans="1:10" x14ac:dyDescent="0.15">
      <c r="A259" s="76" t="s">
        <v>16</v>
      </c>
      <c r="B259" s="76" t="s">
        <v>73</v>
      </c>
      <c r="D259" s="67" t="s">
        <v>113</v>
      </c>
    </row>
    <row r="260" spans="1:10" x14ac:dyDescent="0.15">
      <c r="A260" s="80" t="str">
        <f t="shared" ref="A260:A272" si="25">A108</f>
        <v>2024-09</v>
      </c>
      <c r="B260" s="290">
        <v>277107</v>
      </c>
      <c r="C260" s="99" t="s">
        <v>89</v>
      </c>
    </row>
    <row r="261" spans="1:10" x14ac:dyDescent="0.15">
      <c r="A261" s="80" t="str">
        <f t="shared" si="25"/>
        <v>2024-10</v>
      </c>
      <c r="B261" s="290">
        <v>117323</v>
      </c>
    </row>
    <row r="262" spans="1:10" x14ac:dyDescent="0.15">
      <c r="A262" s="80" t="str">
        <f t="shared" si="25"/>
        <v>2024-11</v>
      </c>
      <c r="B262" s="290">
        <v>106672</v>
      </c>
    </row>
    <row r="263" spans="1:10" x14ac:dyDescent="0.15">
      <c r="A263" s="80" t="str">
        <f t="shared" si="25"/>
        <v>2024-12</v>
      </c>
      <c r="B263" s="290">
        <v>46799</v>
      </c>
    </row>
    <row r="264" spans="1:10" x14ac:dyDescent="0.15">
      <c r="A264" s="80" t="str">
        <f t="shared" si="25"/>
        <v>2025-01</v>
      </c>
      <c r="B264" s="290">
        <v>343135</v>
      </c>
    </row>
    <row r="265" spans="1:10" x14ac:dyDescent="0.15">
      <c r="A265" s="80" t="str">
        <f t="shared" si="25"/>
        <v>2025-02</v>
      </c>
      <c r="B265" s="290">
        <v>93041</v>
      </c>
    </row>
    <row r="266" spans="1:10" x14ac:dyDescent="0.15">
      <c r="A266" s="80" t="str">
        <f t="shared" si="25"/>
        <v>2025-03</v>
      </c>
      <c r="B266" s="290">
        <v>169012</v>
      </c>
      <c r="H266" s="387"/>
      <c r="I266" s="387"/>
      <c r="J266" s="387"/>
    </row>
    <row r="267" spans="1:10" x14ac:dyDescent="0.15">
      <c r="A267" s="80" t="str">
        <f t="shared" si="25"/>
        <v>2025-04</v>
      </c>
      <c r="B267" s="290">
        <v>85389</v>
      </c>
      <c r="H267" s="387"/>
      <c r="I267" s="387"/>
      <c r="J267" s="387"/>
    </row>
    <row r="268" spans="1:10" x14ac:dyDescent="0.15">
      <c r="A268" s="80" t="str">
        <f t="shared" si="25"/>
        <v>2025-05</v>
      </c>
      <c r="B268" s="290">
        <v>192484</v>
      </c>
      <c r="H268" s="387"/>
      <c r="I268" s="387"/>
      <c r="J268" s="387"/>
    </row>
    <row r="269" spans="1:10" x14ac:dyDescent="0.15">
      <c r="A269" s="80" t="str">
        <f t="shared" si="25"/>
        <v>2025-06</v>
      </c>
      <c r="B269" s="290">
        <v>322443</v>
      </c>
      <c r="H269" s="387"/>
      <c r="I269" s="387"/>
      <c r="J269" s="387"/>
    </row>
    <row r="270" spans="1:10" x14ac:dyDescent="0.15">
      <c r="A270" s="80" t="str">
        <f t="shared" si="25"/>
        <v>2025-07</v>
      </c>
      <c r="B270" s="290">
        <v>412915</v>
      </c>
      <c r="H270" s="387"/>
      <c r="I270" s="387"/>
      <c r="J270" s="387"/>
    </row>
    <row r="271" spans="1:10" x14ac:dyDescent="0.15">
      <c r="A271" s="80" t="str">
        <f t="shared" si="25"/>
        <v>2025-08</v>
      </c>
      <c r="B271" s="290">
        <v>441171</v>
      </c>
      <c r="H271" s="387"/>
      <c r="I271" s="387"/>
      <c r="J271" s="387"/>
    </row>
    <row r="272" spans="1:10" x14ac:dyDescent="0.15">
      <c r="A272" s="80" t="str">
        <f t="shared" si="25"/>
        <v>2025-09</v>
      </c>
      <c r="B272" s="290">
        <v>146903</v>
      </c>
    </row>
    <row r="273" spans="1:5" x14ac:dyDescent="0.15">
      <c r="A273" s="76" t="s">
        <v>54</v>
      </c>
      <c r="B273" s="152">
        <f>SUM(B261:B272)</f>
        <v>2477287</v>
      </c>
      <c r="E273" s="33"/>
    </row>
    <row r="274" spans="1:5" x14ac:dyDescent="0.15">
      <c r="A274" s="33" t="s">
        <v>29</v>
      </c>
      <c r="B274" s="150">
        <f>AVERAGE(B261:B272)</f>
        <v>206440.58333333334</v>
      </c>
      <c r="E274" s="62"/>
    </row>
    <row r="275" spans="1:5" x14ac:dyDescent="0.15">
      <c r="A275" s="294" t="s">
        <v>210</v>
      </c>
      <c r="B275" s="294">
        <v>2477287</v>
      </c>
      <c r="C275" s="189" t="s">
        <v>119</v>
      </c>
      <c r="D275" s="33"/>
    </row>
    <row r="276" spans="1:5" x14ac:dyDescent="0.15">
      <c r="A276" s="294" t="s">
        <v>168</v>
      </c>
      <c r="B276" s="296">
        <v>1835070</v>
      </c>
      <c r="C276" s="189" t="s">
        <v>119</v>
      </c>
      <c r="D276" s="62"/>
    </row>
    <row r="277" spans="1:5" x14ac:dyDescent="0.15">
      <c r="A277" s="33"/>
      <c r="B277" s="33"/>
      <c r="C277" s="62"/>
    </row>
    <row r="278" spans="1:5" x14ac:dyDescent="0.15">
      <c r="A278" s="67" t="s">
        <v>56</v>
      </c>
      <c r="B278" s="138"/>
      <c r="C278" s="72"/>
    </row>
    <row r="279" spans="1:5" x14ac:dyDescent="0.15">
      <c r="A279" s="139" t="s">
        <v>16</v>
      </c>
      <c r="B279" s="152" t="s">
        <v>73</v>
      </c>
      <c r="C279" s="33"/>
    </row>
    <row r="280" spans="1:5" x14ac:dyDescent="0.15">
      <c r="A280" s="141" t="str">
        <f t="shared" ref="A280:A291" si="26">A144</f>
        <v>2024-10</v>
      </c>
      <c r="B280" s="143">
        <f>B261-B$203</f>
        <v>-89117.583333333343</v>
      </c>
      <c r="C280" s="33"/>
    </row>
    <row r="281" spans="1:5" x14ac:dyDescent="0.15">
      <c r="A281" s="141" t="str">
        <f t="shared" si="26"/>
        <v>2024-11</v>
      </c>
      <c r="B281" s="143">
        <f t="shared" ref="B281:B291" si="27">B262-B$203</f>
        <v>-99768.583333333343</v>
      </c>
      <c r="C281" s="33"/>
    </row>
    <row r="282" spans="1:5" x14ac:dyDescent="0.15">
      <c r="A282" s="141" t="str">
        <f t="shared" si="26"/>
        <v>2024-12</v>
      </c>
      <c r="B282" s="143">
        <f t="shared" si="27"/>
        <v>-159641.58333333334</v>
      </c>
      <c r="C282" s="33"/>
    </row>
    <row r="283" spans="1:5" x14ac:dyDescent="0.15">
      <c r="A283" s="141" t="str">
        <f t="shared" si="26"/>
        <v>2025-01</v>
      </c>
      <c r="B283" s="143">
        <f t="shared" si="27"/>
        <v>136694.41666666666</v>
      </c>
      <c r="C283" s="33"/>
    </row>
    <row r="284" spans="1:5" x14ac:dyDescent="0.15">
      <c r="A284" s="141" t="str">
        <f t="shared" si="26"/>
        <v>2025-02</v>
      </c>
      <c r="B284" s="143">
        <f t="shared" si="27"/>
        <v>-113399.58333333334</v>
      </c>
      <c r="C284" s="33"/>
    </row>
    <row r="285" spans="1:5" x14ac:dyDescent="0.15">
      <c r="A285" s="141" t="str">
        <f t="shared" si="26"/>
        <v>2025-03</v>
      </c>
      <c r="B285" s="143">
        <f t="shared" si="27"/>
        <v>-37428.583333333343</v>
      </c>
      <c r="C285" s="33"/>
    </row>
    <row r="286" spans="1:5" x14ac:dyDescent="0.15">
      <c r="A286" s="141" t="str">
        <f t="shared" si="26"/>
        <v>2025-04</v>
      </c>
      <c r="B286" s="143">
        <f t="shared" si="27"/>
        <v>-121051.58333333334</v>
      </c>
      <c r="C286" s="33"/>
    </row>
    <row r="287" spans="1:5" x14ac:dyDescent="0.15">
      <c r="A287" s="141" t="str">
        <f t="shared" si="26"/>
        <v>2025-05</v>
      </c>
      <c r="B287" s="143">
        <f t="shared" si="27"/>
        <v>-13956.583333333343</v>
      </c>
      <c r="C287" s="33"/>
    </row>
    <row r="288" spans="1:5" x14ac:dyDescent="0.15">
      <c r="A288" s="141" t="str">
        <f t="shared" si="26"/>
        <v>2025-06</v>
      </c>
      <c r="B288" s="143">
        <f t="shared" si="27"/>
        <v>116002.41666666666</v>
      </c>
      <c r="C288" s="33"/>
    </row>
    <row r="289" spans="1:5" x14ac:dyDescent="0.15">
      <c r="A289" s="141" t="str">
        <f t="shared" si="26"/>
        <v>2025-07</v>
      </c>
      <c r="B289" s="143">
        <f t="shared" si="27"/>
        <v>206474.41666666666</v>
      </c>
      <c r="C289" s="33"/>
      <c r="E289" s="33"/>
    </row>
    <row r="290" spans="1:5" x14ac:dyDescent="0.15">
      <c r="A290" s="141" t="str">
        <f t="shared" si="26"/>
        <v>2025-08</v>
      </c>
      <c r="B290" s="143">
        <f t="shared" si="27"/>
        <v>234730.41666666666</v>
      </c>
      <c r="C290" s="33"/>
      <c r="E290" s="81"/>
    </row>
    <row r="291" spans="1:5" x14ac:dyDescent="0.15">
      <c r="A291" s="141" t="str">
        <f t="shared" si="26"/>
        <v>2025-09</v>
      </c>
      <c r="B291" s="143">
        <f t="shared" si="27"/>
        <v>-59537.583333333343</v>
      </c>
      <c r="C291" s="33"/>
      <c r="D291" s="33"/>
    </row>
    <row r="292" spans="1:5" x14ac:dyDescent="0.15">
      <c r="A292" s="139" t="s">
        <v>11</v>
      </c>
      <c r="B292" s="143">
        <f>SUM(B280:B291)</f>
        <v>-1.4551915228366852E-10</v>
      </c>
      <c r="C292" s="33"/>
      <c r="D292" s="81"/>
    </row>
    <row r="293" spans="1:5" x14ac:dyDescent="0.15">
      <c r="B293" s="33"/>
      <c r="C293" s="81"/>
    </row>
    <row r="294" spans="1:5" x14ac:dyDescent="0.15">
      <c r="A294" s="67" t="s">
        <v>57</v>
      </c>
      <c r="B294" s="153"/>
      <c r="C294" s="82"/>
    </row>
    <row r="295" spans="1:5" x14ac:dyDescent="0.15">
      <c r="A295" s="146" t="s">
        <v>16</v>
      </c>
      <c r="B295" s="129" t="s">
        <v>73</v>
      </c>
      <c r="C295" s="33"/>
    </row>
    <row r="296" spans="1:5" x14ac:dyDescent="0.15">
      <c r="A296" s="141" t="str">
        <f>A280</f>
        <v>2024-10</v>
      </c>
      <c r="B296" s="143">
        <f>B261-B260</f>
        <v>-159784</v>
      </c>
      <c r="C296" s="33"/>
    </row>
    <row r="297" spans="1:5" x14ac:dyDescent="0.15">
      <c r="A297" s="141" t="str">
        <f t="shared" ref="A297:A307" si="28">A281</f>
        <v>2024-11</v>
      </c>
      <c r="B297" s="143">
        <f>B262-B261</f>
        <v>-10651</v>
      </c>
      <c r="C297" s="33"/>
    </row>
    <row r="298" spans="1:5" x14ac:dyDescent="0.15">
      <c r="A298" s="141" t="str">
        <f t="shared" si="28"/>
        <v>2024-12</v>
      </c>
      <c r="B298" s="143">
        <f t="shared" ref="B298:B307" si="29">B263-B262</f>
        <v>-59873</v>
      </c>
      <c r="C298" s="33"/>
    </row>
    <row r="299" spans="1:5" x14ac:dyDescent="0.15">
      <c r="A299" s="141" t="str">
        <f t="shared" si="28"/>
        <v>2025-01</v>
      </c>
      <c r="B299" s="143">
        <f t="shared" si="29"/>
        <v>296336</v>
      </c>
      <c r="C299" s="33"/>
    </row>
    <row r="300" spans="1:5" x14ac:dyDescent="0.15">
      <c r="A300" s="141" t="str">
        <f t="shared" si="28"/>
        <v>2025-02</v>
      </c>
      <c r="B300" s="143">
        <f t="shared" si="29"/>
        <v>-250094</v>
      </c>
      <c r="C300" s="33"/>
    </row>
    <row r="301" spans="1:5" x14ac:dyDescent="0.15">
      <c r="A301" s="141" t="str">
        <f t="shared" si="28"/>
        <v>2025-03</v>
      </c>
      <c r="B301" s="143">
        <f t="shared" si="29"/>
        <v>75971</v>
      </c>
      <c r="C301" s="33"/>
    </row>
    <row r="302" spans="1:5" x14ac:dyDescent="0.15">
      <c r="A302" s="141" t="str">
        <f t="shared" si="28"/>
        <v>2025-04</v>
      </c>
      <c r="B302" s="143">
        <f t="shared" si="29"/>
        <v>-83623</v>
      </c>
      <c r="C302" s="33"/>
    </row>
    <row r="303" spans="1:5" x14ac:dyDescent="0.15">
      <c r="A303" s="141" t="str">
        <f t="shared" si="28"/>
        <v>2025-05</v>
      </c>
      <c r="B303" s="143">
        <f t="shared" si="29"/>
        <v>107095</v>
      </c>
      <c r="C303" s="33"/>
    </row>
    <row r="304" spans="1:5" x14ac:dyDescent="0.15">
      <c r="A304" s="141" t="str">
        <f t="shared" si="28"/>
        <v>2025-06</v>
      </c>
      <c r="B304" s="143">
        <f t="shared" si="29"/>
        <v>129959</v>
      </c>
      <c r="C304" s="33"/>
      <c r="E304" s="33"/>
    </row>
    <row r="305" spans="1:11" x14ac:dyDescent="0.15">
      <c r="A305" s="141" t="str">
        <f t="shared" si="28"/>
        <v>2025-07</v>
      </c>
      <c r="B305" s="143">
        <f t="shared" si="29"/>
        <v>90472</v>
      </c>
      <c r="C305" s="33"/>
    </row>
    <row r="306" spans="1:11" x14ac:dyDescent="0.15">
      <c r="A306" s="141" t="str">
        <f t="shared" si="28"/>
        <v>2025-08</v>
      </c>
      <c r="B306" s="143">
        <f t="shared" si="29"/>
        <v>28256</v>
      </c>
      <c r="C306" s="33"/>
      <c r="D306" s="33"/>
    </row>
    <row r="307" spans="1:11" x14ac:dyDescent="0.15">
      <c r="A307" s="141" t="str">
        <f t="shared" si="28"/>
        <v>2025-09</v>
      </c>
      <c r="B307" s="143">
        <f t="shared" si="29"/>
        <v>-294268</v>
      </c>
      <c r="C307" s="33"/>
    </row>
    <row r="308" spans="1:11" x14ac:dyDescent="0.15">
      <c r="B308" s="33"/>
      <c r="F308" s="67" t="s">
        <v>113</v>
      </c>
    </row>
    <row r="309" spans="1:11" x14ac:dyDescent="0.15">
      <c r="D309" s="65"/>
    </row>
    <row r="310" spans="1:11" x14ac:dyDescent="0.15">
      <c r="A310" s="31" t="s">
        <v>61</v>
      </c>
      <c r="C310" s="64"/>
      <c r="D310" s="65"/>
    </row>
    <row r="311" spans="1:11" x14ac:dyDescent="0.15">
      <c r="A311" s="76"/>
      <c r="B311" s="388" t="s">
        <v>73</v>
      </c>
      <c r="C311" s="389"/>
      <c r="D311" s="390"/>
    </row>
    <row r="312" spans="1:11" x14ac:dyDescent="0.15">
      <c r="A312" s="76" t="s">
        <v>60</v>
      </c>
      <c r="B312" s="76" t="s">
        <v>52</v>
      </c>
      <c r="C312" s="76" t="s">
        <v>53</v>
      </c>
      <c r="D312" s="76" t="s">
        <v>51</v>
      </c>
    </row>
    <row r="313" spans="1:11" x14ac:dyDescent="0.15">
      <c r="A313" s="76" t="s">
        <v>39</v>
      </c>
      <c r="B313" s="83"/>
      <c r="C313" s="83"/>
      <c r="D313" s="83"/>
    </row>
    <row r="314" spans="1:11" x14ac:dyDescent="0.15">
      <c r="A314" s="76" t="s">
        <v>40</v>
      </c>
      <c r="B314" s="83"/>
      <c r="C314" s="83"/>
      <c r="D314" s="83"/>
    </row>
    <row r="315" spans="1:11" x14ac:dyDescent="0.15">
      <c r="A315" s="152" t="s">
        <v>41</v>
      </c>
      <c r="B315" s="134">
        <v>592471</v>
      </c>
      <c r="C315" s="134">
        <v>6582527</v>
      </c>
      <c r="D315" s="134">
        <v>325462</v>
      </c>
    </row>
    <row r="316" spans="1:11" x14ac:dyDescent="0.15">
      <c r="A316" s="152" t="s">
        <v>42</v>
      </c>
      <c r="B316" s="134">
        <v>555306</v>
      </c>
      <c r="C316" s="134">
        <v>5791919</v>
      </c>
      <c r="D316" s="134">
        <v>298036</v>
      </c>
    </row>
    <row r="317" spans="1:11" x14ac:dyDescent="0.15">
      <c r="A317" s="152" t="s">
        <v>43</v>
      </c>
      <c r="B317" s="134">
        <v>399036</v>
      </c>
      <c r="C317" s="134">
        <v>4085298</v>
      </c>
      <c r="D317" s="134">
        <v>224482</v>
      </c>
    </row>
    <row r="318" spans="1:11" x14ac:dyDescent="0.15">
      <c r="A318" s="233" t="s">
        <v>45</v>
      </c>
      <c r="B318" s="210">
        <v>349520</v>
      </c>
      <c r="C318" s="210">
        <v>3443353</v>
      </c>
      <c r="D318" s="210">
        <v>198199</v>
      </c>
    </row>
    <row r="319" spans="1:11" x14ac:dyDescent="0.15">
      <c r="A319" s="233" t="s">
        <v>72</v>
      </c>
      <c r="B319" s="210">
        <v>318452</v>
      </c>
      <c r="C319" s="210">
        <v>3076663</v>
      </c>
      <c r="D319" s="210">
        <v>185720</v>
      </c>
      <c r="I319" s="387"/>
      <c r="J319" s="387"/>
      <c r="K319" s="387"/>
    </row>
    <row r="320" spans="1:11" x14ac:dyDescent="0.15">
      <c r="A320" s="233" t="s">
        <v>84</v>
      </c>
      <c r="B320" s="210">
        <v>302452</v>
      </c>
      <c r="C320" s="210">
        <v>2925899</v>
      </c>
      <c r="D320" s="210">
        <v>198199</v>
      </c>
      <c r="F320" s="67" t="s">
        <v>118</v>
      </c>
      <c r="I320" s="387"/>
      <c r="J320" s="387"/>
      <c r="K320" s="387"/>
    </row>
    <row r="321" spans="1:11" x14ac:dyDescent="0.15">
      <c r="A321" s="233" t="s">
        <v>91</v>
      </c>
      <c r="B321" s="210">
        <v>294901</v>
      </c>
      <c r="C321" s="210">
        <v>3706912</v>
      </c>
      <c r="D321" s="210">
        <v>197163</v>
      </c>
      <c r="I321" s="387"/>
      <c r="J321" s="387"/>
      <c r="K321" s="387"/>
    </row>
    <row r="322" spans="1:11" x14ac:dyDescent="0.15">
      <c r="A322" s="233" t="s">
        <v>115</v>
      </c>
      <c r="B322" s="234">
        <v>272524</v>
      </c>
      <c r="C322" s="234">
        <v>1106932</v>
      </c>
      <c r="D322" s="234">
        <v>234658</v>
      </c>
      <c r="I322" s="387"/>
      <c r="J322" s="387"/>
      <c r="K322" s="387"/>
    </row>
    <row r="323" spans="1:11" x14ac:dyDescent="0.15">
      <c r="A323" s="235" t="s">
        <v>143</v>
      </c>
      <c r="B323" s="235">
        <v>652966</v>
      </c>
      <c r="C323" s="235">
        <v>2561596</v>
      </c>
      <c r="D323" s="235">
        <v>537745</v>
      </c>
      <c r="I323" s="387"/>
      <c r="J323" s="387"/>
      <c r="K323" s="387"/>
    </row>
    <row r="324" spans="1:11" x14ac:dyDescent="0.15">
      <c r="A324" s="235" t="s">
        <v>147</v>
      </c>
      <c r="B324" s="235">
        <v>1551417</v>
      </c>
      <c r="C324" s="235">
        <v>4861082</v>
      </c>
      <c r="D324" s="235">
        <v>1064634</v>
      </c>
      <c r="I324" s="387"/>
      <c r="J324" s="387"/>
      <c r="K324" s="387"/>
    </row>
    <row r="325" spans="1:11" x14ac:dyDescent="0.15">
      <c r="A325" s="235" t="s">
        <v>159</v>
      </c>
      <c r="B325" s="235">
        <v>1435391</v>
      </c>
      <c r="C325" s="235">
        <v>3770046</v>
      </c>
      <c r="D325" s="235">
        <v>890015</v>
      </c>
    </row>
    <row r="326" spans="1:11" x14ac:dyDescent="0.15">
      <c r="A326" s="235" t="s">
        <v>162</v>
      </c>
      <c r="B326" s="235">
        <v>2609749</v>
      </c>
      <c r="C326" s="235">
        <v>3944764</v>
      </c>
      <c r="D326" s="235">
        <v>1516462</v>
      </c>
    </row>
    <row r="327" spans="1:11" x14ac:dyDescent="0.15">
      <c r="A327" s="235" t="s">
        <v>167</v>
      </c>
      <c r="B327" s="235">
        <v>3077645</v>
      </c>
      <c r="C327" s="235">
        <v>5281027</v>
      </c>
      <c r="D327" s="235">
        <v>1835070</v>
      </c>
    </row>
    <row r="328" spans="1:11" x14ac:dyDescent="0.15">
      <c r="A328" s="302" t="s">
        <v>209</v>
      </c>
      <c r="B328" s="302">
        <v>6884611</v>
      </c>
      <c r="C328" s="302">
        <v>9880812</v>
      </c>
      <c r="D328" s="302">
        <v>2477287</v>
      </c>
    </row>
  </sheetData>
  <mergeCells count="6">
    <mergeCell ref="I319:K324"/>
    <mergeCell ref="E192:G197"/>
    <mergeCell ref="B240:D240"/>
    <mergeCell ref="B311:D311"/>
    <mergeCell ref="G245:I250"/>
    <mergeCell ref="H266:J271"/>
  </mergeCells>
  <phoneticPr fontId="27" type="noConversion"/>
  <pageMargins left="0.75" right="0.75" top="1" bottom="1" header="0.5" footer="0.5"/>
  <pageSetup scale="75" orientation="landscape" r:id="rId1"/>
  <headerFooter alignWithMargins="0"/>
  <ignoredErrors>
    <ignoredError sqref="B202:B203 B273:B274 E69 E16" formulaRange="1"/>
  </ignoredError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W42"/>
  <sheetViews>
    <sheetView zoomScale="220" zoomScaleNormal="220" workbookViewId="0">
      <selection activeCell="J4" sqref="J4"/>
    </sheetView>
  </sheetViews>
  <sheetFormatPr baseColWidth="10" defaultColWidth="8.83203125" defaultRowHeight="13" x14ac:dyDescent="0.15"/>
  <cols>
    <col min="1" max="1" width="6" customWidth="1"/>
    <col min="2" max="5" width="15.6640625" customWidth="1"/>
    <col min="6" max="6" width="20.1640625" customWidth="1"/>
    <col min="7" max="7" width="13.33203125" customWidth="1"/>
    <col min="8" max="8" width="21.1640625" customWidth="1"/>
    <col min="9" max="9" width="11.33203125" customWidth="1"/>
    <col min="10" max="10" width="11" bestFit="1" customWidth="1"/>
    <col min="11" max="11" width="12.5" customWidth="1"/>
    <col min="12" max="12" width="14.33203125" customWidth="1"/>
    <col min="13" max="13" width="11.33203125" customWidth="1"/>
    <col min="14" max="15" width="14.5" customWidth="1"/>
    <col min="16" max="16" width="14" customWidth="1"/>
    <col min="17" max="17" width="10.33203125" bestFit="1" customWidth="1"/>
    <col min="18" max="18" width="15" bestFit="1" customWidth="1"/>
    <col min="23" max="23" width="19.1640625" customWidth="1"/>
  </cols>
  <sheetData>
    <row r="1" spans="2:23" ht="39" customHeight="1" x14ac:dyDescent="0.15">
      <c r="B1" s="386" t="s">
        <v>78</v>
      </c>
      <c r="C1" s="386"/>
      <c r="D1" s="386"/>
      <c r="E1" s="386"/>
      <c r="F1" s="386"/>
      <c r="G1" s="386"/>
      <c r="H1" s="386"/>
      <c r="I1" s="386"/>
      <c r="J1" s="386"/>
      <c r="K1" s="386"/>
      <c r="L1" s="386"/>
      <c r="M1" s="386"/>
      <c r="N1" s="386"/>
      <c r="O1" s="386"/>
      <c r="P1" s="386"/>
      <c r="Q1" s="386"/>
      <c r="R1" s="386"/>
    </row>
    <row r="2" spans="2:23" ht="42" customHeight="1" x14ac:dyDescent="0.15"/>
    <row r="3" spans="2:23" ht="26.25" customHeight="1" x14ac:dyDescent="0.15">
      <c r="B3" s="76" t="s">
        <v>36</v>
      </c>
      <c r="C3" s="169" t="s">
        <v>19</v>
      </c>
      <c r="D3" s="201" t="s">
        <v>139</v>
      </c>
      <c r="E3" s="75" t="s">
        <v>132</v>
      </c>
      <c r="F3" s="169" t="s">
        <v>20</v>
      </c>
      <c r="G3" s="202" t="s">
        <v>133</v>
      </c>
      <c r="H3" s="169" t="s">
        <v>131</v>
      </c>
      <c r="I3" s="202" t="s">
        <v>140</v>
      </c>
      <c r="J3" s="169" t="s">
        <v>141</v>
      </c>
      <c r="K3" s="75" t="s">
        <v>207</v>
      </c>
      <c r="L3" s="75" t="s">
        <v>208</v>
      </c>
      <c r="M3" s="75" t="s">
        <v>21</v>
      </c>
      <c r="N3" s="75" t="s">
        <v>79</v>
      </c>
      <c r="O3" s="75" t="s">
        <v>170</v>
      </c>
      <c r="P3" s="75" t="s">
        <v>169</v>
      </c>
      <c r="Q3" s="75" t="s">
        <v>22</v>
      </c>
      <c r="R3" s="75" t="s">
        <v>23</v>
      </c>
      <c r="S3" s="75" t="s">
        <v>24</v>
      </c>
    </row>
    <row r="4" spans="2:23" x14ac:dyDescent="0.15">
      <c r="B4" s="84" t="s">
        <v>73</v>
      </c>
      <c r="C4" s="290">
        <v>569</v>
      </c>
      <c r="D4" s="252"/>
      <c r="E4" s="303">
        <v>2154280</v>
      </c>
      <c r="F4" s="290">
        <v>14358</v>
      </c>
      <c r="G4" s="203"/>
      <c r="H4" s="134">
        <f>E4+F4</f>
        <v>2168638</v>
      </c>
      <c r="I4" s="247"/>
      <c r="J4" s="290">
        <v>6794655</v>
      </c>
      <c r="K4" s="288">
        <v>93.142217999999986</v>
      </c>
      <c r="L4" s="291">
        <v>3205.7050488685886</v>
      </c>
      <c r="M4" s="133">
        <f>L4/365</f>
        <v>8.7827535585440781</v>
      </c>
      <c r="N4" s="132">
        <f>L4/1024</f>
        <v>3.1305713367857311</v>
      </c>
      <c r="O4" s="291">
        <v>91.545250999999993</v>
      </c>
      <c r="P4" s="288">
        <v>2921.5785976075463</v>
      </c>
      <c r="Q4" s="132">
        <f>C24</f>
        <v>356.86886800000002</v>
      </c>
      <c r="R4" s="132">
        <f>C42</f>
        <v>2047.6007590201248</v>
      </c>
      <c r="S4" s="133">
        <f>R4/365</f>
        <v>5.6098650932058209</v>
      </c>
    </row>
    <row r="5" spans="2:23" x14ac:dyDescent="0.15">
      <c r="B5" s="184" t="s">
        <v>103</v>
      </c>
      <c r="C5" s="184" t="s">
        <v>212</v>
      </c>
      <c r="D5" s="253" t="s">
        <v>102</v>
      </c>
      <c r="E5" s="254" t="s">
        <v>164</v>
      </c>
      <c r="F5" s="184" t="s">
        <v>213</v>
      </c>
      <c r="G5" s="3"/>
      <c r="H5" s="3"/>
      <c r="I5" s="253" t="s">
        <v>102</v>
      </c>
      <c r="J5" s="254" t="s">
        <v>165</v>
      </c>
      <c r="K5" s="184" t="s">
        <v>173</v>
      </c>
      <c r="L5" s="184" t="s">
        <v>174</v>
      </c>
      <c r="M5" s="183"/>
      <c r="N5" s="183"/>
      <c r="O5" s="184" t="s">
        <v>163</v>
      </c>
      <c r="P5" s="184" t="s">
        <v>163</v>
      </c>
      <c r="Q5" s="183"/>
      <c r="R5" s="183"/>
      <c r="S5" s="183"/>
      <c r="T5" s="183"/>
      <c r="U5" s="183"/>
      <c r="V5" s="183"/>
      <c r="W5" s="183"/>
    </row>
    <row r="6" spans="2:23" x14ac:dyDescent="0.15">
      <c r="B6" s="3"/>
      <c r="C6" s="3"/>
      <c r="D6" s="3"/>
      <c r="E6" s="3"/>
      <c r="F6" s="3"/>
      <c r="G6" s="3"/>
      <c r="H6" s="3"/>
      <c r="I6" s="3"/>
      <c r="J6" s="3"/>
      <c r="K6" s="3"/>
      <c r="L6" s="3"/>
      <c r="M6" s="3"/>
      <c r="N6" s="3"/>
      <c r="O6" s="3"/>
      <c r="P6" s="3"/>
      <c r="Q6" s="3"/>
      <c r="R6" s="3"/>
      <c r="S6" s="3"/>
    </row>
    <row r="7" spans="2:23" x14ac:dyDescent="0.15">
      <c r="B7" s="85" t="s">
        <v>66</v>
      </c>
      <c r="I7" s="3"/>
      <c r="J7" s="3"/>
      <c r="K7" s="3"/>
      <c r="M7" s="3"/>
      <c r="N7" s="3"/>
      <c r="O7" s="3"/>
    </row>
    <row r="8" spans="2:23" x14ac:dyDescent="0.15">
      <c r="B8" s="76" t="s">
        <v>47</v>
      </c>
      <c r="C8" s="84" t="s">
        <v>73</v>
      </c>
      <c r="D8" s="36"/>
      <c r="E8" s="36"/>
      <c r="G8" s="47"/>
      <c r="H8" s="47"/>
    </row>
    <row r="9" spans="2:23" ht="14" x14ac:dyDescent="0.15">
      <c r="B9" s="176" t="s">
        <v>39</v>
      </c>
      <c r="C9" s="175">
        <v>17.264521999999999</v>
      </c>
      <c r="D9" s="92"/>
      <c r="E9" s="92"/>
    </row>
    <row r="10" spans="2:23" ht="14" x14ac:dyDescent="0.15">
      <c r="B10" s="176" t="s">
        <v>40</v>
      </c>
      <c r="C10" s="175">
        <v>22.105111999999998</v>
      </c>
      <c r="D10" s="92"/>
      <c r="E10" s="92"/>
      <c r="N10" s="93"/>
    </row>
    <row r="11" spans="2:23" ht="14" x14ac:dyDescent="0.15">
      <c r="B11" s="176" t="s">
        <v>41</v>
      </c>
      <c r="C11" s="175">
        <v>65.958472999999998</v>
      </c>
      <c r="D11" s="92"/>
      <c r="E11" s="92"/>
    </row>
    <row r="12" spans="2:23" ht="14" x14ac:dyDescent="0.15">
      <c r="B12" s="176" t="s">
        <v>42</v>
      </c>
      <c r="C12" s="175">
        <v>89.748705000000001</v>
      </c>
      <c r="D12" s="92"/>
      <c r="E12" s="92"/>
    </row>
    <row r="13" spans="2:23" ht="14" x14ac:dyDescent="0.15">
      <c r="B13" s="176" t="s">
        <v>43</v>
      </c>
      <c r="C13" s="175">
        <v>69.865531000000004</v>
      </c>
      <c r="D13" s="92"/>
      <c r="E13" s="92"/>
    </row>
    <row r="14" spans="2:23" ht="14" x14ac:dyDescent="0.15">
      <c r="B14" s="176" t="s">
        <v>45</v>
      </c>
      <c r="C14" s="175">
        <v>72.539675000000003</v>
      </c>
      <c r="D14" s="92"/>
      <c r="E14" s="92"/>
    </row>
    <row r="15" spans="2:23" ht="14" x14ac:dyDescent="0.15">
      <c r="B15" s="176" t="s">
        <v>72</v>
      </c>
      <c r="C15" s="175">
        <v>76.3</v>
      </c>
      <c r="D15" s="92"/>
      <c r="E15" s="92"/>
    </row>
    <row r="16" spans="2:23" ht="14" x14ac:dyDescent="0.15">
      <c r="B16" s="176" t="s">
        <v>84</v>
      </c>
      <c r="C16" s="175">
        <v>123.179919</v>
      </c>
    </row>
    <row r="17" spans="1:21" s="3" customFormat="1" ht="14" x14ac:dyDescent="0.15">
      <c r="A17"/>
      <c r="B17" s="176" t="s">
        <v>91</v>
      </c>
      <c r="C17" s="175">
        <v>134.37852100000001</v>
      </c>
      <c r="D17"/>
      <c r="E17"/>
      <c r="F17"/>
      <c r="G17"/>
      <c r="H17"/>
      <c r="I17"/>
      <c r="J17"/>
      <c r="K17"/>
      <c r="L17"/>
      <c r="M17"/>
      <c r="N17"/>
      <c r="O17"/>
      <c r="P17"/>
      <c r="Q17"/>
      <c r="R17"/>
      <c r="S17"/>
      <c r="U17"/>
    </row>
    <row r="18" spans="1:21" s="3" customFormat="1" ht="14" x14ac:dyDescent="0.15">
      <c r="A18"/>
      <c r="B18" s="231" t="s">
        <v>115</v>
      </c>
      <c r="C18" s="232">
        <v>90.093598999999998</v>
      </c>
      <c r="D18"/>
      <c r="E18"/>
      <c r="F18"/>
      <c r="G18"/>
      <c r="H18"/>
      <c r="I18"/>
      <c r="J18"/>
      <c r="K18"/>
      <c r="L18"/>
      <c r="M18"/>
      <c r="N18"/>
      <c r="O18"/>
      <c r="P18"/>
      <c r="Q18"/>
      <c r="R18"/>
      <c r="S18"/>
      <c r="U18"/>
    </row>
    <row r="19" spans="1:21" s="3" customFormat="1" ht="14" x14ac:dyDescent="0.15">
      <c r="A19"/>
      <c r="B19" s="231" t="s">
        <v>143</v>
      </c>
      <c r="C19" s="232">
        <v>90.904066</v>
      </c>
      <c r="D19"/>
      <c r="E19"/>
      <c r="F19"/>
      <c r="G19"/>
      <c r="H19"/>
      <c r="I19"/>
      <c r="J19"/>
      <c r="K19"/>
      <c r="L19"/>
      <c r="M19"/>
      <c r="N19"/>
      <c r="O19"/>
      <c r="P19"/>
      <c r="Q19"/>
      <c r="R19"/>
      <c r="S19"/>
      <c r="U19"/>
    </row>
    <row r="20" spans="1:21" s="3" customFormat="1" ht="14" x14ac:dyDescent="0.15">
      <c r="A20"/>
      <c r="B20" s="231" t="s">
        <v>147</v>
      </c>
      <c r="C20" s="232">
        <v>125.12</v>
      </c>
      <c r="D20"/>
      <c r="E20"/>
      <c r="F20"/>
      <c r="G20"/>
      <c r="H20"/>
      <c r="I20"/>
      <c r="J20"/>
      <c r="K20"/>
      <c r="L20"/>
      <c r="M20"/>
      <c r="N20"/>
      <c r="O20"/>
      <c r="P20"/>
      <c r="Q20"/>
      <c r="R20"/>
      <c r="S20"/>
      <c r="U20"/>
    </row>
    <row r="21" spans="1:21" s="3" customFormat="1" ht="14" x14ac:dyDescent="0.15">
      <c r="A21"/>
      <c r="B21" s="231" t="s">
        <v>159</v>
      </c>
      <c r="C21" s="232">
        <v>149.04</v>
      </c>
      <c r="D21" s="36"/>
      <c r="E21" s="36"/>
      <c r="F21"/>
      <c r="G21"/>
      <c r="H21"/>
      <c r="I21"/>
      <c r="J21"/>
      <c r="K21"/>
      <c r="L21"/>
      <c r="M21"/>
      <c r="N21"/>
      <c r="O21"/>
      <c r="P21"/>
      <c r="Q21"/>
      <c r="R21"/>
      <c r="S21"/>
      <c r="U21"/>
    </row>
    <row r="22" spans="1:21" s="3" customFormat="1" ht="14" x14ac:dyDescent="0.15">
      <c r="A22"/>
      <c r="B22" s="231" t="s">
        <v>162</v>
      </c>
      <c r="C22" s="232">
        <v>203.30678299999997</v>
      </c>
      <c r="D22" s="36"/>
      <c r="E22" s="36"/>
      <c r="F22"/>
      <c r="G22"/>
      <c r="H22"/>
      <c r="I22"/>
      <c r="J22"/>
      <c r="K22"/>
      <c r="L22"/>
      <c r="M22"/>
      <c r="N22"/>
      <c r="O22"/>
      <c r="P22"/>
      <c r="Q22"/>
      <c r="R22"/>
      <c r="S22"/>
      <c r="U22"/>
    </row>
    <row r="23" spans="1:21" s="3" customFormat="1" ht="14" x14ac:dyDescent="0.15">
      <c r="A23"/>
      <c r="B23" s="231" t="s">
        <v>167</v>
      </c>
      <c r="C23" s="232">
        <v>285.49</v>
      </c>
      <c r="D23" s="36"/>
      <c r="E23" s="36"/>
      <c r="F23"/>
      <c r="G23"/>
      <c r="H23"/>
      <c r="I23"/>
      <c r="J23"/>
      <c r="K23"/>
      <c r="L23"/>
      <c r="M23"/>
      <c r="N23"/>
      <c r="O23"/>
      <c r="P23"/>
      <c r="Q23"/>
      <c r="R23"/>
      <c r="S23"/>
      <c r="U23"/>
    </row>
    <row r="24" spans="1:21" s="3" customFormat="1" x14ac:dyDescent="0.15">
      <c r="A24"/>
      <c r="B24" s="304" t="s">
        <v>209</v>
      </c>
      <c r="C24" s="305">
        <v>356.86886800000002</v>
      </c>
      <c r="D24" s="93"/>
      <c r="E24" s="93"/>
      <c r="F24"/>
      <c r="G24"/>
      <c r="H24"/>
      <c r="I24"/>
      <c r="J24"/>
      <c r="K24"/>
      <c r="L24"/>
      <c r="M24"/>
      <c r="N24"/>
      <c r="O24"/>
      <c r="P24"/>
      <c r="Q24"/>
      <c r="R24"/>
      <c r="S24"/>
      <c r="U24"/>
    </row>
    <row r="25" spans="1:21" ht="14" x14ac:dyDescent="0.15">
      <c r="B25" s="34" t="s">
        <v>23</v>
      </c>
      <c r="D25" s="93"/>
      <c r="E25" s="93"/>
    </row>
    <row r="26" spans="1:21" x14ac:dyDescent="0.15">
      <c r="B26" s="76" t="s">
        <v>47</v>
      </c>
      <c r="C26" s="84" t="s">
        <v>73</v>
      </c>
      <c r="D26" s="93"/>
      <c r="E26" s="93"/>
    </row>
    <row r="27" spans="1:21" ht="14" x14ac:dyDescent="0.15">
      <c r="B27" s="176" t="s">
        <v>39</v>
      </c>
      <c r="C27" s="132">
        <v>239.357451171875</v>
      </c>
      <c r="D27" s="93"/>
      <c r="E27" s="93"/>
    </row>
    <row r="28" spans="1:21" ht="14" x14ac:dyDescent="0.15">
      <c r="B28" s="176" t="s">
        <v>40</v>
      </c>
      <c r="C28" s="132">
        <v>475.84899414062494</v>
      </c>
      <c r="D28" s="93"/>
      <c r="E28" s="93"/>
    </row>
    <row r="29" spans="1:21" ht="14" x14ac:dyDescent="0.15">
      <c r="B29" s="176" t="s">
        <v>41</v>
      </c>
      <c r="C29" s="132">
        <v>833.81921875</v>
      </c>
      <c r="D29" s="93"/>
      <c r="E29" s="93"/>
    </row>
    <row r="30" spans="1:21" ht="14" x14ac:dyDescent="0.15">
      <c r="B30" s="176" t="s">
        <v>42</v>
      </c>
      <c r="C30" s="132">
        <v>856.63578125000004</v>
      </c>
      <c r="D30" s="92"/>
      <c r="E30" s="92"/>
    </row>
    <row r="31" spans="1:21" ht="14" x14ac:dyDescent="0.15">
      <c r="B31" s="176" t="s">
        <v>43</v>
      </c>
      <c r="C31" s="132">
        <v>891.62641206054695</v>
      </c>
    </row>
    <row r="32" spans="1:21" ht="14" x14ac:dyDescent="0.15">
      <c r="B32" s="176" t="s">
        <v>45</v>
      </c>
      <c r="C32" s="132">
        <v>786.36682507619889</v>
      </c>
    </row>
    <row r="33" spans="2:3" ht="14" x14ac:dyDescent="0.15">
      <c r="B33" s="176" t="s">
        <v>72</v>
      </c>
      <c r="C33" s="175">
        <v>763.04</v>
      </c>
    </row>
    <row r="34" spans="2:3" ht="14" x14ac:dyDescent="0.15">
      <c r="B34" s="176" t="s">
        <v>84</v>
      </c>
      <c r="C34" s="175">
        <v>889.13361675249939</v>
      </c>
    </row>
    <row r="35" spans="2:3" ht="14" x14ac:dyDescent="0.15">
      <c r="B35" s="176" t="s">
        <v>91</v>
      </c>
      <c r="C35" s="175">
        <v>874.06199730241701</v>
      </c>
    </row>
    <row r="36" spans="2:3" ht="14" x14ac:dyDescent="0.15">
      <c r="B36" s="176" t="s">
        <v>115</v>
      </c>
      <c r="C36" s="175">
        <v>842.38937777741194</v>
      </c>
    </row>
    <row r="37" spans="2:3" ht="14" x14ac:dyDescent="0.15">
      <c r="B37" s="176" t="s">
        <v>143</v>
      </c>
      <c r="C37" s="132">
        <v>954.39680382275969</v>
      </c>
    </row>
    <row r="38" spans="2:3" ht="14" x14ac:dyDescent="0.15">
      <c r="B38" s="176" t="s">
        <v>147</v>
      </c>
      <c r="C38" s="132">
        <v>2287.2350702581357</v>
      </c>
    </row>
    <row r="39" spans="2:3" ht="14" x14ac:dyDescent="0.15">
      <c r="B39" s="176" t="s">
        <v>159</v>
      </c>
      <c r="C39" s="180">
        <v>2099.6</v>
      </c>
    </row>
    <row r="40" spans="2:3" ht="14" x14ac:dyDescent="0.15">
      <c r="B40" s="176" t="s">
        <v>162</v>
      </c>
      <c r="C40" s="180">
        <v>2627.6795304215912</v>
      </c>
    </row>
    <row r="41" spans="2:3" ht="14" x14ac:dyDescent="0.15">
      <c r="B41" s="176" t="s">
        <v>167</v>
      </c>
      <c r="C41" s="180">
        <v>2918.4</v>
      </c>
    </row>
    <row r="42" spans="2:3" ht="14" x14ac:dyDescent="0.15">
      <c r="B42" s="289" t="s">
        <v>209</v>
      </c>
      <c r="C42" s="291">
        <v>2047.6007590201248</v>
      </c>
    </row>
  </sheetData>
  <mergeCells count="1">
    <mergeCell ref="B1:R1"/>
  </mergeCells>
  <pageMargins left="0.75" right="0.75" top="1" bottom="1" header="0.5" footer="0.5"/>
  <pageSetup scale="75"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sheetPr>
  <dimension ref="A3"/>
  <sheetViews>
    <sheetView zoomScale="130" zoomScaleNormal="130" workbookViewId="0">
      <selection activeCell="A3" sqref="A3"/>
    </sheetView>
  </sheetViews>
  <sheetFormatPr baseColWidth="10" defaultColWidth="8.83203125" defaultRowHeight="13" x14ac:dyDescent="0.15"/>
  <cols>
    <col min="1" max="1" width="120.6640625" customWidth="1"/>
  </cols>
  <sheetData>
    <row r="3" spans="1:1" ht="228.75" customHeight="1" x14ac:dyDescent="0.15">
      <c r="A3" s="263" t="s">
        <v>235</v>
      </c>
    </row>
  </sheetData>
  <pageMargins left="0.75" right="0.75" top="1" bottom="1" header="0.5" footer="0.5"/>
  <pageSetup scale="75"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sheetPr>
  <dimension ref="A1:K52"/>
  <sheetViews>
    <sheetView zoomScale="94" zoomScaleNormal="94" zoomScalePageLayoutView="90" workbookViewId="0">
      <selection activeCell="M29" sqref="M29"/>
    </sheetView>
  </sheetViews>
  <sheetFormatPr baseColWidth="10" defaultColWidth="11.5" defaultRowHeight="13" x14ac:dyDescent="0.15"/>
  <cols>
    <col min="1" max="1" width="7.1640625" customWidth="1"/>
    <col min="2" max="2" width="63.6640625" customWidth="1"/>
    <col min="3" max="3" width="20.6640625" customWidth="1"/>
    <col min="4" max="4" width="18.6640625" customWidth="1"/>
    <col min="5" max="5" width="3.5" customWidth="1"/>
    <col min="6" max="6" width="15.1640625" customWidth="1"/>
    <col min="7" max="7" width="13" customWidth="1"/>
    <col min="8" max="8" width="1.6640625" customWidth="1"/>
    <col min="9" max="9" width="14.5" customWidth="1"/>
    <col min="10" max="10" width="15" customWidth="1"/>
    <col min="11" max="11" width="29.5" customWidth="1"/>
    <col min="12" max="12" width="19.83203125" customWidth="1"/>
    <col min="13" max="13" width="62.33203125" customWidth="1"/>
    <col min="14" max="14" width="28" customWidth="1"/>
  </cols>
  <sheetData>
    <row r="1" spans="1:11" ht="52" customHeight="1" thickBot="1" x14ac:dyDescent="0.2">
      <c r="A1" s="7"/>
      <c r="B1" s="329" t="str">
        <f>CONCATENATE(data!$B$2, " Summary for ", Summary_data!X1)</f>
        <v>ASDC Summary for FY 2025</v>
      </c>
      <c r="C1" s="329"/>
      <c r="D1" s="329"/>
      <c r="E1" s="329"/>
      <c r="F1" s="329"/>
      <c r="G1" s="329"/>
      <c r="H1" s="329"/>
      <c r="I1" s="329"/>
      <c r="J1" s="329"/>
      <c r="K1" s="329"/>
    </row>
    <row r="2" spans="1:11" ht="25" customHeight="1" thickBot="1" x14ac:dyDescent="0.2">
      <c r="B2" s="335" t="str">
        <f>Summary_data!Z2</f>
        <v>FY2025 Metrics (Oct 2024 to Sep 2025)</v>
      </c>
      <c r="C2" s="336"/>
      <c r="D2" s="337"/>
      <c r="F2" s="340" t="str">
        <f>CONCATENATE(data!$B$2, " Distribution and User Trends ", Summary_data!W1)</f>
        <v>ASDC Distribution and User Trends (Oct 2024 to Sep 2025)</v>
      </c>
      <c r="G2" s="341"/>
      <c r="H2" s="341"/>
      <c r="I2" s="342"/>
      <c r="J2" s="342"/>
      <c r="K2" s="343"/>
    </row>
    <row r="3" spans="1:11" ht="18" customHeight="1" thickBot="1" x14ac:dyDescent="0.2">
      <c r="B3" s="37" t="s">
        <v>64</v>
      </c>
      <c r="C3" s="37" t="s">
        <v>63</v>
      </c>
      <c r="D3" s="37" t="str">
        <f>Summary_data!C4</f>
        <v>ASDC</v>
      </c>
      <c r="F3" s="344" t="s">
        <v>64</v>
      </c>
      <c r="G3" s="38" t="s">
        <v>11</v>
      </c>
      <c r="H3" s="39"/>
      <c r="I3" s="40" t="s">
        <v>25</v>
      </c>
      <c r="J3" s="40" t="s">
        <v>32</v>
      </c>
      <c r="K3" s="41" t="s">
        <v>26</v>
      </c>
    </row>
    <row r="4" spans="1:11" ht="18" customHeight="1" thickBot="1" x14ac:dyDescent="0.2">
      <c r="B4" s="224" t="s">
        <v>137</v>
      </c>
      <c r="C4" s="53">
        <f>Summary_data!AA13</f>
        <v>18755</v>
      </c>
      <c r="D4" s="55">
        <f>Summary_data!D4</f>
        <v>2122</v>
      </c>
      <c r="F4" s="345"/>
      <c r="G4" s="42" t="str">
        <f>Summary_data!AE2</f>
        <v>FY2025</v>
      </c>
      <c r="H4" s="43"/>
      <c r="I4" s="44" t="str">
        <f>Summary_data!AF2</f>
        <v>FY2024</v>
      </c>
      <c r="J4" s="43" t="s">
        <v>27</v>
      </c>
      <c r="K4" s="45" t="s">
        <v>28</v>
      </c>
    </row>
    <row r="5" spans="1:11" ht="38" customHeight="1" thickBot="1" x14ac:dyDescent="0.2">
      <c r="B5" s="226" t="s">
        <v>150</v>
      </c>
      <c r="C5" s="53" t="str">
        <f>Summary_data!AA14</f>
        <v>10 M</v>
      </c>
      <c r="D5" s="56">
        <f>Summary_data!I4</f>
        <v>115441</v>
      </c>
      <c r="F5" s="348" t="s">
        <v>68</v>
      </c>
      <c r="G5" s="349">
        <f>data!$B$15</f>
        <v>64.438758000000007</v>
      </c>
      <c r="H5" s="338"/>
      <c r="I5" s="332">
        <f>(data!$B$15-data!$B17)/data!$B17</f>
        <v>0.39381763344368514</v>
      </c>
      <c r="J5" s="339">
        <f>data!$B$16</f>
        <v>5.3698965000000003</v>
      </c>
      <c r="K5" s="333"/>
    </row>
    <row r="6" spans="1:11" ht="18" customHeight="1" thickBot="1" x14ac:dyDescent="0.2">
      <c r="B6" s="226" t="s">
        <v>151</v>
      </c>
      <c r="C6" s="53" t="str">
        <f>Summary_data!AA15</f>
        <v>14.9  M</v>
      </c>
      <c r="D6" s="56">
        <f>Summary_data!K$4</f>
        <v>145652</v>
      </c>
      <c r="F6" s="330"/>
      <c r="G6" s="350"/>
      <c r="H6" s="323"/>
      <c r="I6" s="325"/>
      <c r="J6" s="334"/>
      <c r="K6" s="317"/>
    </row>
    <row r="7" spans="1:11" ht="18" customHeight="1" thickBot="1" x14ac:dyDescent="0.2">
      <c r="B7" s="226" t="s">
        <v>0</v>
      </c>
      <c r="C7" s="58" t="str">
        <f>Summary_data!AA16</f>
        <v>160 TB/day</v>
      </c>
      <c r="D7" s="58" t="str">
        <f>CONCATENATE(FIXED(1024*Summary_data!$N$4,1), " GB/day")</f>
        <v>8,387.6 GB/day</v>
      </c>
      <c r="F7" s="319" t="s">
        <v>62</v>
      </c>
      <c r="G7" s="346">
        <f>data!$B$67</f>
        <v>21456.394719662607</v>
      </c>
      <c r="H7" s="323"/>
      <c r="I7" s="332">
        <f>(data!$B$67-data!$B$69)/data!$B$69</f>
        <v>3.0287721848609466</v>
      </c>
      <c r="J7" s="334">
        <f>data!$B$68</f>
        <v>1788.0328933052172</v>
      </c>
      <c r="K7" s="317"/>
    </row>
    <row r="8" spans="1:11" ht="18" customHeight="1" thickBot="1" x14ac:dyDescent="0.2">
      <c r="B8" s="226" t="s">
        <v>152</v>
      </c>
      <c r="C8" s="58" t="str">
        <f>Summary_data!AA17</f>
        <v>178.7 PB</v>
      </c>
      <c r="D8" s="57" t="str">
        <f>CONCATENATE(FIXED(Summary_data!$O$4,1), " TB")</f>
        <v>11,572.8 TB</v>
      </c>
      <c r="F8" s="330"/>
      <c r="G8" s="347"/>
      <c r="H8" s="323"/>
      <c r="I8" s="325"/>
      <c r="J8" s="334"/>
      <c r="K8" s="317"/>
    </row>
    <row r="9" spans="1:11" ht="18" customHeight="1" thickBot="1" x14ac:dyDescent="0.2">
      <c r="B9" s="226" t="s">
        <v>153</v>
      </c>
      <c r="C9" s="53" t="str">
        <f>Summary_data!AA18</f>
        <v>116.2 PB</v>
      </c>
      <c r="D9" s="56" t="str">
        <f>CONCATENATE(FIXED(Summary_data!$U$4,1), " TB")</f>
        <v>1,817.6 TB</v>
      </c>
      <c r="F9" s="319" t="s">
        <v>58</v>
      </c>
      <c r="G9" s="321">
        <f>data!$B$120</f>
        <v>6659</v>
      </c>
      <c r="H9" s="323"/>
      <c r="I9" s="332">
        <f>(data!$B$120-data!$B$121)/data!$B$121</f>
        <v>5.0315457413249214E-2</v>
      </c>
      <c r="J9" s="327">
        <f>data!$B$119</f>
        <v>928.16666666666663</v>
      </c>
      <c r="K9" s="317"/>
    </row>
    <row r="10" spans="1:11" ht="18" customHeight="1" thickBot="1" x14ac:dyDescent="0.2">
      <c r="B10" s="226" t="s">
        <v>154</v>
      </c>
      <c r="C10" s="53" t="str">
        <f>Summary_data!AA19</f>
        <v>7,799.9 M</v>
      </c>
      <c r="D10" s="56" t="str">
        <f>CONCATENATE(FIXED(Summary_data!$R$4,1), " M")</f>
        <v>64.4 M</v>
      </c>
      <c r="F10" s="330"/>
      <c r="G10" s="331"/>
      <c r="H10" s="323"/>
      <c r="I10" s="325"/>
      <c r="J10" s="327"/>
      <c r="K10" s="317"/>
    </row>
    <row r="11" spans="1:11" ht="18" customHeight="1" thickBot="1" x14ac:dyDescent="0.2">
      <c r="B11" s="226" t="s">
        <v>155</v>
      </c>
      <c r="C11" s="53" t="str">
        <f>Summary_data!AA20</f>
        <v>4,316.1 M</v>
      </c>
      <c r="D11" s="56" t="str">
        <f>CONCATENATE(FIXED(Summary_data!$V$4,1), " M")</f>
        <v>24,482,885.0 M</v>
      </c>
      <c r="E11" s="5"/>
      <c r="F11" s="319" t="s">
        <v>125</v>
      </c>
      <c r="G11" s="321">
        <f>data!$B$227</f>
        <v>113735</v>
      </c>
      <c r="H11" s="323"/>
      <c r="I11" s="325">
        <f>(data!$B$227-data!$B$228)/data!$B$228</f>
        <v>1.8010097278660264</v>
      </c>
      <c r="J11" s="327">
        <f>data!$B$226</f>
        <v>9477.9166666666661</v>
      </c>
      <c r="K11" s="317"/>
    </row>
    <row r="12" spans="1:11" ht="18" customHeight="1" thickBot="1" x14ac:dyDescent="0.2">
      <c r="B12" s="226" t="s">
        <v>156</v>
      </c>
      <c r="C12" s="53" t="str">
        <f>Summary_data!AA21</f>
        <v>600 TB/day</v>
      </c>
      <c r="D12" s="57" t="str">
        <f>CONCATENATE(FIXED(1024*Summary_data!$T$4,1), " GB/day")</f>
        <v>60,195.5 GB/day</v>
      </c>
      <c r="F12" s="320"/>
      <c r="G12" s="322"/>
      <c r="H12" s="324"/>
      <c r="I12" s="326"/>
      <c r="J12" s="328"/>
      <c r="K12" s="318"/>
    </row>
    <row r="13" spans="1:11" ht="18" customHeight="1" x14ac:dyDescent="0.15"/>
    <row r="14" spans="1:11" ht="25" customHeight="1" x14ac:dyDescent="0.15"/>
    <row r="15" spans="1:11" ht="25" customHeight="1" x14ac:dyDescent="0.15"/>
    <row r="16" spans="1:11" ht="25" customHeight="1" x14ac:dyDescent="0.15"/>
    <row r="17" ht="25" customHeight="1" x14ac:dyDescent="0.15"/>
    <row r="18" ht="25" customHeight="1" x14ac:dyDescent="0.15"/>
    <row r="19" ht="25" customHeight="1" x14ac:dyDescent="0.15"/>
    <row r="20" ht="25" customHeight="1" x14ac:dyDescent="0.15"/>
    <row r="21" ht="25" customHeight="1" x14ac:dyDescent="0.15"/>
    <row r="22" ht="25" customHeight="1" x14ac:dyDescent="0.15"/>
    <row r="23" ht="25" customHeight="1" x14ac:dyDescent="0.15"/>
    <row r="24" ht="25" customHeight="1" x14ac:dyDescent="0.15"/>
    <row r="25" ht="25" customHeight="1" x14ac:dyDescent="0.15"/>
    <row r="26" ht="25" customHeight="1" x14ac:dyDescent="0.15"/>
    <row r="27" ht="25" customHeight="1" x14ac:dyDescent="0.15"/>
    <row r="28" ht="25" customHeight="1" x14ac:dyDescent="0.15"/>
    <row r="29" ht="25" customHeight="1" x14ac:dyDescent="0.15"/>
    <row r="30" ht="25" customHeight="1" x14ac:dyDescent="0.15"/>
    <row r="31" ht="25" customHeight="1" x14ac:dyDescent="0.15"/>
    <row r="32" ht="25" customHeight="1" x14ac:dyDescent="0.15"/>
    <row r="33" ht="30" customHeight="1" x14ac:dyDescent="0.15"/>
    <row r="34" ht="30" customHeight="1" x14ac:dyDescent="0.15"/>
    <row r="35" ht="30" customHeight="1" x14ac:dyDescent="0.15"/>
    <row r="36" ht="30" customHeight="1" x14ac:dyDescent="0.15"/>
    <row r="37" ht="30" customHeight="1" x14ac:dyDescent="0.15"/>
    <row r="52" ht="62" customHeight="1" x14ac:dyDescent="0.15"/>
  </sheetData>
  <dataConsolidate/>
  <mergeCells count="28">
    <mergeCell ref="F3:F4"/>
    <mergeCell ref="H7:H8"/>
    <mergeCell ref="G7:G8"/>
    <mergeCell ref="F7:F8"/>
    <mergeCell ref="F5:F6"/>
    <mergeCell ref="G5:G6"/>
    <mergeCell ref="B1:K1"/>
    <mergeCell ref="K9:K10"/>
    <mergeCell ref="F9:F10"/>
    <mergeCell ref="G9:G10"/>
    <mergeCell ref="H9:H10"/>
    <mergeCell ref="I9:I10"/>
    <mergeCell ref="J9:J10"/>
    <mergeCell ref="K5:K6"/>
    <mergeCell ref="K7:K8"/>
    <mergeCell ref="J7:J8"/>
    <mergeCell ref="I7:I8"/>
    <mergeCell ref="B2:D2"/>
    <mergeCell ref="I5:I6"/>
    <mergeCell ref="H5:H6"/>
    <mergeCell ref="J5:J6"/>
    <mergeCell ref="F2:K2"/>
    <mergeCell ref="K11:K12"/>
    <mergeCell ref="F11:F12"/>
    <mergeCell ref="G11:G12"/>
    <mergeCell ref="H11:H12"/>
    <mergeCell ref="I11:I12"/>
    <mergeCell ref="J11:J12"/>
  </mergeCells>
  <conditionalFormatting sqref="I5 I7 I9">
    <cfRule type="iconSet" priority="160">
      <iconSet iconSet="3Arrows">
        <cfvo type="percent" val="0"/>
        <cfvo type="num" val="0"/>
        <cfvo type="num" val="0.01"/>
      </iconSet>
    </cfRule>
    <cfRule type="iconSet" priority="161">
      <iconSet showValue="0">
        <cfvo type="percent" val="0"/>
        <cfvo type="num" val="0.9"/>
        <cfvo type="num" val="0.95"/>
      </iconSet>
    </cfRule>
    <cfRule type="iconSet" priority="166">
      <iconSet iconSet="5Arrows">
        <cfvo type="percent" val="0"/>
        <cfvo type="percent" val="20"/>
        <cfvo type="percent" val="40"/>
        <cfvo type="percent" val="60"/>
        <cfvo type="percent" val="80"/>
      </iconSet>
    </cfRule>
    <cfRule type="iconSet" priority="167">
      <iconSet>
        <cfvo type="percent" val="0"/>
        <cfvo type="percent" val="33"/>
        <cfvo type="percent" val="67"/>
      </iconSet>
    </cfRule>
    <cfRule type="iconSet" priority="168">
      <iconSet iconSet="4Arrows">
        <cfvo type="percent" val="0"/>
        <cfvo type="percent" val="25"/>
        <cfvo type="percent" val="50"/>
        <cfvo type="percentile" val="75"/>
      </iconSet>
    </cfRule>
    <cfRule type="iconSet" priority="169">
      <iconSet iconSet="5Arrows">
        <cfvo type="percent" val="0"/>
        <cfvo type="percent" val="20"/>
        <cfvo type="percent" val="40"/>
        <cfvo type="percent" val="60"/>
        <cfvo type="percent" val="80"/>
      </iconSet>
    </cfRule>
    <cfRule type="iconSet" priority="170">
      <iconSet iconSet="3Arrows">
        <cfvo type="percent" val="0"/>
        <cfvo type="percent" val="33"/>
        <cfvo type="percent" val="67"/>
      </iconSet>
    </cfRule>
    <cfRule type="iconSet" priority="181">
      <iconSet iconSet="5Arrows">
        <cfvo type="percent" val="0"/>
        <cfvo type="num" val="-0.2"/>
        <cfvo type="num" val="-0.05"/>
        <cfvo type="num" val="0.05"/>
        <cfvo type="num" val="0.2"/>
      </iconSet>
    </cfRule>
  </conditionalFormatting>
  <conditionalFormatting sqref="I11">
    <cfRule type="iconSet" priority="9">
      <iconSet iconSet="3Arrows">
        <cfvo type="percent" val="0"/>
        <cfvo type="num" val="0"/>
        <cfvo type="num" val="0.01"/>
      </iconSet>
    </cfRule>
    <cfRule type="iconSet" priority="10">
      <iconSet iconSet="5Arrows">
        <cfvo type="percent" val="0"/>
        <cfvo type="num" val="-0.2"/>
        <cfvo type="num" val="-0.05"/>
        <cfvo type="num" val="0.05"/>
        <cfvo type="num" val="0.2"/>
      </iconSet>
    </cfRule>
    <cfRule type="iconSet" priority="11">
      <iconSet iconSet="5Arrows">
        <cfvo type="percent" val="0"/>
        <cfvo type="percent" val="20"/>
        <cfvo type="percent" val="40"/>
        <cfvo type="percent" val="60"/>
        <cfvo type="percent" val="80"/>
      </iconSet>
    </cfRule>
    <cfRule type="iconSet" priority="12">
      <iconSet showValue="0">
        <cfvo type="percent" val="0"/>
        <cfvo type="num" val="0.9"/>
        <cfvo type="num" val="0.95"/>
      </iconSet>
    </cfRule>
    <cfRule type="iconSet" priority="13">
      <iconSet>
        <cfvo type="percent" val="0"/>
        <cfvo type="percent" val="33"/>
        <cfvo type="percent" val="67"/>
      </iconSet>
    </cfRule>
    <cfRule type="iconSet" priority="14">
      <iconSet iconSet="4Arrows">
        <cfvo type="percent" val="0"/>
        <cfvo type="percent" val="25"/>
        <cfvo type="percent" val="50"/>
        <cfvo type="percentile" val="75"/>
      </iconSet>
    </cfRule>
    <cfRule type="iconSet" priority="15">
      <iconSet iconSet="5Arrows">
        <cfvo type="percent" val="0"/>
        <cfvo type="percent" val="20"/>
        <cfvo type="percent" val="40"/>
        <cfvo type="percent" val="60"/>
        <cfvo type="percent" val="80"/>
      </iconSet>
    </cfRule>
    <cfRule type="iconSet" priority="16">
      <iconSet iconSet="3Arrows">
        <cfvo type="percent" val="0"/>
        <cfvo type="percent" val="33"/>
        <cfvo type="percent" val="67"/>
      </iconSet>
    </cfRule>
  </conditionalFormatting>
  <conditionalFormatting sqref="K5 K7">
    <cfRule type="dataBar" priority="159">
      <dataBar>
        <cfvo type="min"/>
        <cfvo type="max"/>
        <color rgb="FF638EC6"/>
      </dataBar>
      <extLst>
        <ext xmlns:x14="http://schemas.microsoft.com/office/spreadsheetml/2009/9/main" uri="{B025F937-C7B1-47D3-B67F-A62EFF666E3E}">
          <x14:id>{AA64AE06-5540-4AA0-8037-E45A2831123B}</x14:id>
        </ext>
      </extLst>
    </cfRule>
  </conditionalFormatting>
  <conditionalFormatting sqref="K9">
    <cfRule type="dataBar" priority="59">
      <dataBar>
        <cfvo type="min"/>
        <cfvo type="max"/>
        <color rgb="FF638EC6"/>
      </dataBar>
      <extLst>
        <ext xmlns:x14="http://schemas.microsoft.com/office/spreadsheetml/2009/9/main" uri="{B025F937-C7B1-47D3-B67F-A62EFF666E3E}">
          <x14:id>{A25FFA54-EB01-40C9-A0D0-A8D7C498EDD2}</x14:id>
        </ext>
      </extLst>
    </cfRule>
  </conditionalFormatting>
  <conditionalFormatting sqref="K11">
    <cfRule type="dataBar" priority="17">
      <dataBar>
        <cfvo type="min"/>
        <cfvo type="max"/>
        <color rgb="FF638EC6"/>
      </dataBar>
      <extLst>
        <ext xmlns:x14="http://schemas.microsoft.com/office/spreadsheetml/2009/9/main" uri="{B025F937-C7B1-47D3-B67F-A62EFF666E3E}">
          <x14:id>{D510F157-9A0C-C24A-88DB-6F63328216D5}</x14:id>
        </ext>
      </extLst>
    </cfRule>
  </conditionalFormatting>
  <pageMargins left="0.75" right="0.75" top="1" bottom="1" header="0.5" footer="0.5"/>
  <pageSetup scale="75" orientation="landscape" r:id="rId1"/>
  <headerFooter alignWithMargins="0"/>
  <drawing r:id="rId2"/>
  <extLst>
    <ext xmlns:x14="http://schemas.microsoft.com/office/spreadsheetml/2009/9/main" uri="{78C0D931-6437-407d-A8EE-F0AAD7539E65}">
      <x14:conditionalFormattings>
        <x14:conditionalFormatting xmlns:xm="http://schemas.microsoft.com/office/excel/2006/main">
          <x14:cfRule type="dataBar" id="{AA64AE06-5540-4AA0-8037-E45A2831123B}">
            <x14:dataBar minLength="0" maxLength="100" negativeBarColorSameAsPositive="1" axisPosition="none">
              <x14:cfvo type="min"/>
              <x14:cfvo type="max"/>
            </x14:dataBar>
          </x14:cfRule>
          <xm:sqref>K5 K7</xm:sqref>
        </x14:conditionalFormatting>
        <x14:conditionalFormatting xmlns:xm="http://schemas.microsoft.com/office/excel/2006/main">
          <x14:cfRule type="dataBar" id="{A25FFA54-EB01-40C9-A0D0-A8D7C498EDD2}">
            <x14:dataBar minLength="0" maxLength="100" negativeBarColorSameAsPositive="1" axisPosition="none">
              <x14:cfvo type="min"/>
              <x14:cfvo type="max"/>
            </x14:dataBar>
          </x14:cfRule>
          <xm:sqref>K9</xm:sqref>
        </x14:conditionalFormatting>
        <x14:conditionalFormatting xmlns:xm="http://schemas.microsoft.com/office/excel/2006/main">
          <x14:cfRule type="dataBar" id="{D510F157-9A0C-C24A-88DB-6F63328216D5}">
            <x14:dataBar minLength="0" maxLength="100" negativeBarColorSameAsPositive="1" axisPosition="none">
              <x14:cfvo type="min"/>
              <x14:cfvo type="max"/>
            </x14:dataBar>
          </x14:cfRule>
          <xm:sqref>K11</xm:sqref>
        </x14:conditionalFormatting>
      </x14:conditionalFormattings>
    </ext>
    <ext xmlns:x14="http://schemas.microsoft.com/office/spreadsheetml/2009/9/main" uri="{05C60535-1F16-4fd2-B633-F4F36F0B64E0}">
      <x14:sparklineGroups xmlns:xm="http://schemas.microsoft.com/office/excel/2006/main">
        <x14:sparklineGroup manualMax="0" manualMin="0" displayEmptyCellsAs="gap" high="1" xr2:uid="{00000000-0003-0000-0200-000001000000}">
          <x14:colorSeries rgb="FF376092"/>
          <x14:colorNegative rgb="FFD00000"/>
          <x14:colorAxis rgb="FF000000"/>
          <x14:colorMarkers rgb="FFD00000"/>
          <x14:colorFirst rgb="FFD00000"/>
          <x14:colorLast rgb="FFD00000"/>
          <x14:colorHigh rgb="FFD00000"/>
          <x14:colorLow rgb="FFD00000"/>
          <x14:sparklines>
            <x14:sparkline>
              <xm:f>data!B106:B117</xm:f>
              <xm:sqref>K9</xm:sqref>
            </x14:sparkline>
          </x14:sparklines>
        </x14:sparklineGroup>
        <x14:sparklineGroup manualMax="0" manualMin="0" displayEmptyCellsAs="gap" high="1" xr2:uid="{00000000-0003-0000-0200-000002000000}">
          <x14:colorSeries rgb="FF376092"/>
          <x14:colorNegative rgb="FFD00000"/>
          <x14:colorAxis rgb="FF000000"/>
          <x14:colorMarkers rgb="FFD00000"/>
          <x14:colorFirst rgb="FFD00000"/>
          <x14:colorLast rgb="FFD00000"/>
          <x14:colorHigh rgb="FFD00000"/>
          <x14:colorLow rgb="FFD00000"/>
          <x14:sparklines>
            <x14:sparkline>
              <xm:f>data!$B$3:$B$14</xm:f>
              <xm:sqref>K5</xm:sqref>
            </x14:sparkline>
          </x14:sparklines>
        </x14:sparklineGroup>
        <x14:sparklineGroup manualMax="0" manualMin="0" displayEmptyCellsAs="gap" high="1" xr2:uid="{00000000-0003-0000-0200-000003000000}">
          <x14:colorSeries rgb="FF376092"/>
          <x14:colorNegative rgb="FFD00000"/>
          <x14:colorAxis rgb="FF000000"/>
          <x14:colorMarkers rgb="FFD00000"/>
          <x14:colorFirst rgb="FFD00000"/>
          <x14:colorLast rgb="FFD00000"/>
          <x14:colorHigh rgb="FFD00000"/>
          <x14:colorLow rgb="FFD00000"/>
          <x14:sparklines>
            <x14:sparkline>
              <xm:f>data!B55:B66</xm:f>
              <xm:sqref>K7</xm:sqref>
            </x14:sparkline>
          </x14:sparklines>
        </x14:sparklineGroup>
        <x14:sparklineGroup manualMax="0" manualMin="0" displayEmptyCellsAs="gap" high="1" xr2:uid="{00000000-0003-0000-0200-000004000000}">
          <x14:colorSeries rgb="FF376092"/>
          <x14:colorNegative rgb="FFD00000"/>
          <x14:colorAxis rgb="FF000000"/>
          <x14:colorMarkers rgb="FFD00000"/>
          <x14:colorFirst rgb="FFD00000"/>
          <x14:colorLast rgb="FFD00000"/>
          <x14:colorHigh rgb="FFD00000"/>
          <x14:colorLow rgb="FFD00000"/>
          <x14:sparklines>
            <x14:sparkline>
              <xm:f>data!B213:B224</xm:f>
              <xm:sqref>K11</xm:sqref>
            </x14:sparkline>
          </x14:sparklines>
        </x14:sparklineGroup>
      </x14:sparklineGroup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sheetPr>
  <dimension ref="A1:K52"/>
  <sheetViews>
    <sheetView zoomScale="78" zoomScaleNormal="78" zoomScalePageLayoutView="90" workbookViewId="0">
      <selection activeCell="C9" sqref="C9"/>
    </sheetView>
  </sheetViews>
  <sheetFormatPr baseColWidth="10" defaultColWidth="11.5" defaultRowHeight="13" x14ac:dyDescent="0.15"/>
  <cols>
    <col min="1" max="1" width="7.1640625" customWidth="1"/>
    <col min="2" max="2" width="63.83203125" customWidth="1"/>
    <col min="3" max="3" width="20.83203125" customWidth="1"/>
    <col min="4" max="4" width="20" customWidth="1"/>
    <col min="5" max="5" width="3.5" customWidth="1"/>
    <col min="6" max="6" width="15.1640625" customWidth="1"/>
    <col min="7" max="7" width="13" customWidth="1"/>
    <col min="8" max="8" width="1.6640625" customWidth="1"/>
    <col min="9" max="9" width="14.5" customWidth="1"/>
    <col min="10" max="10" width="15" customWidth="1"/>
    <col min="11" max="11" width="29.5" customWidth="1"/>
    <col min="12" max="12" width="19.83203125" customWidth="1"/>
    <col min="13" max="13" width="22.1640625" customWidth="1"/>
  </cols>
  <sheetData>
    <row r="1" spans="1:11" ht="52" customHeight="1" thickBot="1" x14ac:dyDescent="0.2">
      <c r="A1" s="7"/>
      <c r="B1" s="329" t="str">
        <f>CONCATENATE("ASF Summary for ", Summary_data!X1)</f>
        <v>ASF Summary for FY 2025</v>
      </c>
      <c r="C1" s="329"/>
      <c r="D1" s="329"/>
      <c r="E1" s="329"/>
      <c r="F1" s="329"/>
      <c r="G1" s="329"/>
      <c r="H1" s="329"/>
      <c r="I1" s="329"/>
      <c r="J1" s="329"/>
      <c r="K1" s="329"/>
    </row>
    <row r="2" spans="1:11" ht="25" customHeight="1" thickBot="1" x14ac:dyDescent="0.2">
      <c r="B2" s="340" t="str">
        <f>Summary_data!Z2</f>
        <v>FY2025 Metrics (Oct 2024 to Sep 2025)</v>
      </c>
      <c r="C2" s="341"/>
      <c r="D2" s="353"/>
      <c r="F2" s="340" t="str">
        <f>CONCATENATE(data!$C$2, " Distribution and User Trends ", Summary_data!W1)</f>
        <v>ASF Distribution and User Trends (Oct 2024 to Sep 2025)</v>
      </c>
      <c r="G2" s="341"/>
      <c r="H2" s="341"/>
      <c r="I2" s="342"/>
      <c r="J2" s="342"/>
      <c r="K2" s="343"/>
    </row>
    <row r="3" spans="1:11" ht="18" customHeight="1" thickBot="1" x14ac:dyDescent="0.2">
      <c r="B3" s="37" t="s">
        <v>64</v>
      </c>
      <c r="C3" s="37" t="s">
        <v>63</v>
      </c>
      <c r="D3" s="37" t="str">
        <f>Summary_data!C5</f>
        <v>ASF</v>
      </c>
      <c r="F3" s="344" t="s">
        <v>64</v>
      </c>
      <c r="G3" s="38" t="s">
        <v>11</v>
      </c>
      <c r="H3" s="39"/>
      <c r="I3" s="40" t="s">
        <v>25</v>
      </c>
      <c r="J3" s="40" t="s">
        <v>32</v>
      </c>
      <c r="K3" s="41" t="s">
        <v>26</v>
      </c>
    </row>
    <row r="4" spans="1:11" ht="18" customHeight="1" thickBot="1" x14ac:dyDescent="0.2">
      <c r="B4" s="224" t="s">
        <v>137</v>
      </c>
      <c r="C4" s="53">
        <f>Summary_data!AA13</f>
        <v>18755</v>
      </c>
      <c r="D4" s="55">
        <f>Summary_data!D5</f>
        <v>189</v>
      </c>
      <c r="F4" s="345"/>
      <c r="G4" s="42" t="str">
        <f>Summary_data!AE2</f>
        <v>FY2025</v>
      </c>
      <c r="H4" s="43"/>
      <c r="I4" s="44" t="str">
        <f>Summary_data!AF2</f>
        <v>FY2024</v>
      </c>
      <c r="J4" s="43" t="s">
        <v>27</v>
      </c>
      <c r="K4" s="45" t="s">
        <v>28</v>
      </c>
    </row>
    <row r="5" spans="1:11" ht="23" customHeight="1" thickBot="1" x14ac:dyDescent="0.2">
      <c r="B5" s="226" t="s">
        <v>150</v>
      </c>
      <c r="C5" s="53" t="str">
        <f>Summary_data!AA14</f>
        <v>10 M</v>
      </c>
      <c r="D5" s="56">
        <f>Summary_data!I5</f>
        <v>596506</v>
      </c>
      <c r="F5" s="348" t="s">
        <v>68</v>
      </c>
      <c r="G5" s="349">
        <f>data!$C$15</f>
        <v>220.06076999999999</v>
      </c>
      <c r="H5" s="338"/>
      <c r="I5" s="332">
        <f>(data!$C$15-data!$C$17)/data!$C$17</f>
        <v>2.153563593208744</v>
      </c>
      <c r="J5" s="354">
        <f>data!$C$16</f>
        <v>18.338397499999999</v>
      </c>
      <c r="K5" s="333"/>
    </row>
    <row r="6" spans="1:11" ht="18" customHeight="1" thickBot="1" x14ac:dyDescent="0.2">
      <c r="B6" s="226" t="s">
        <v>151</v>
      </c>
      <c r="C6" s="53" t="str">
        <f>Summary_data!AA15</f>
        <v>14.9  M</v>
      </c>
      <c r="D6" s="56">
        <f>Summary_data!K$5</f>
        <v>194045</v>
      </c>
      <c r="F6" s="330"/>
      <c r="G6" s="350"/>
      <c r="H6" s="323"/>
      <c r="I6" s="325"/>
      <c r="J6" s="355"/>
      <c r="K6" s="317"/>
    </row>
    <row r="7" spans="1:11" ht="18" customHeight="1" thickBot="1" x14ac:dyDescent="0.2">
      <c r="B7" s="226" t="s">
        <v>0</v>
      </c>
      <c r="C7" s="58" t="str">
        <f>Summary_data!AA16</f>
        <v>160 TB/day</v>
      </c>
      <c r="D7" s="56" t="str">
        <f>CONCATENATE(FIXED(Summary_data!$N$5,1), " TB/day")</f>
        <v>26.1 TB/day</v>
      </c>
      <c r="F7" s="319" t="s">
        <v>62</v>
      </c>
      <c r="G7" s="346">
        <f>data!$C$67</f>
        <v>86806.466648276764</v>
      </c>
      <c r="H7" s="323"/>
      <c r="I7" s="332">
        <f>(data!$C$67-data!$C$69)/data!$C$69</f>
        <v>9.8819225839390429E-2</v>
      </c>
      <c r="J7" s="355">
        <f>data!$C$68</f>
        <v>7233.8722206897301</v>
      </c>
      <c r="K7" s="317"/>
    </row>
    <row r="8" spans="1:11" ht="18" customHeight="1" thickBot="1" x14ac:dyDescent="0.2">
      <c r="B8" s="226" t="s">
        <v>152</v>
      </c>
      <c r="C8" s="58" t="str">
        <f>Summary_data!AA17</f>
        <v>178.7 PB</v>
      </c>
      <c r="D8" s="56" t="str">
        <f>CONCATENATE(FIXED(Summary_data!$O$5,1), " TB")</f>
        <v>43,735.5 TB</v>
      </c>
      <c r="F8" s="330"/>
      <c r="G8" s="347"/>
      <c r="H8" s="323"/>
      <c r="I8" s="325"/>
      <c r="J8" s="355"/>
      <c r="K8" s="317"/>
    </row>
    <row r="9" spans="1:11" ht="18" customHeight="1" thickBot="1" x14ac:dyDescent="0.2">
      <c r="B9" s="226" t="s">
        <v>153</v>
      </c>
      <c r="C9" s="53" t="str">
        <f>Summary_data!AA18</f>
        <v>116.2 PB</v>
      </c>
      <c r="D9" s="56" t="str">
        <f>CONCATENATE(FIXED(Summary_data!$U$5,1), " TB")</f>
        <v>40,508.1 TB</v>
      </c>
      <c r="F9" s="319" t="s">
        <v>58</v>
      </c>
      <c r="G9" s="321">
        <f>data!$C$120</f>
        <v>391328</v>
      </c>
      <c r="H9" s="323"/>
      <c r="I9" s="332">
        <f>(data!$C$120-data!$C$121)/data!$C$121</f>
        <v>1.3485410013959354E-2</v>
      </c>
      <c r="J9" s="351">
        <f>data!$C$119</f>
        <v>44327.666666666664</v>
      </c>
      <c r="K9" s="317"/>
    </row>
    <row r="10" spans="1:11" ht="18" customHeight="1" thickBot="1" x14ac:dyDescent="0.2">
      <c r="B10" s="226" t="s">
        <v>154</v>
      </c>
      <c r="C10" s="53" t="str">
        <f>Summary_data!AA19</f>
        <v>7,799.9 M</v>
      </c>
      <c r="D10" s="56" t="str">
        <f>CONCATENATE(FIXED(Summary_data!$R$5,1), " M")</f>
        <v>220.1 M</v>
      </c>
      <c r="F10" s="330"/>
      <c r="G10" s="331"/>
      <c r="H10" s="323"/>
      <c r="I10" s="325"/>
      <c r="J10" s="351"/>
      <c r="K10" s="317"/>
    </row>
    <row r="11" spans="1:11" ht="18" customHeight="1" thickBot="1" x14ac:dyDescent="0.2">
      <c r="B11" s="226" t="s">
        <v>155</v>
      </c>
      <c r="C11" s="53" t="str">
        <f>Summary_data!AA20</f>
        <v>4,316.1 M</v>
      </c>
      <c r="D11" s="56" t="str">
        <f>CONCATENATE(FIXED(Summary_data!$V$5,1), " M")</f>
        <v>204,711,060.0 M</v>
      </c>
      <c r="E11" s="5"/>
      <c r="F11" s="319" t="s">
        <v>125</v>
      </c>
      <c r="G11" s="321">
        <f>data!$C$227</f>
        <v>140649</v>
      </c>
      <c r="H11" s="323"/>
      <c r="I11" s="325">
        <f>(data!$C$227-data!$C$228)/data!$C$228</f>
        <v>1.2792299340452771</v>
      </c>
      <c r="J11" s="351">
        <f>data!$C$226</f>
        <v>11720.75</v>
      </c>
      <c r="K11" s="317"/>
    </row>
    <row r="12" spans="1:11" ht="18" customHeight="1" thickBot="1" x14ac:dyDescent="0.2">
      <c r="B12" s="226" t="s">
        <v>156</v>
      </c>
      <c r="C12" s="53" t="str">
        <f>Summary_data!AA21</f>
        <v>600 TB/day</v>
      </c>
      <c r="D12" s="56" t="str">
        <f>CONCATENATE(FIXED(Summary_data!$T$5,1), " GB/day")</f>
        <v>237.8 GB/day</v>
      </c>
      <c r="F12" s="320"/>
      <c r="G12" s="322"/>
      <c r="H12" s="324"/>
      <c r="I12" s="326"/>
      <c r="J12" s="352"/>
      <c r="K12" s="318"/>
    </row>
    <row r="13" spans="1:11" ht="18" customHeight="1" x14ac:dyDescent="0.15"/>
    <row r="14" spans="1:11" ht="18" customHeight="1" x14ac:dyDescent="0.15"/>
    <row r="15" spans="1:11" ht="18" customHeight="1" x14ac:dyDescent="0.15"/>
    <row r="16" spans="1:11" ht="25" customHeight="1" x14ac:dyDescent="0.15"/>
    <row r="17" ht="25" customHeight="1" x14ac:dyDescent="0.15"/>
    <row r="18" ht="25" customHeight="1" x14ac:dyDescent="0.15"/>
    <row r="19" ht="25" customHeight="1" x14ac:dyDescent="0.15"/>
    <row r="20" ht="25" customHeight="1" x14ac:dyDescent="0.15"/>
    <row r="21" ht="25" customHeight="1" x14ac:dyDescent="0.15"/>
    <row r="22" ht="25" customHeight="1" x14ac:dyDescent="0.15"/>
    <row r="23" ht="25" customHeight="1" x14ac:dyDescent="0.15"/>
    <row r="24" ht="25" customHeight="1" x14ac:dyDescent="0.15"/>
    <row r="25" ht="25" customHeight="1" x14ac:dyDescent="0.15"/>
    <row r="26" ht="25" customHeight="1" x14ac:dyDescent="0.15"/>
    <row r="27" ht="25" customHeight="1" x14ac:dyDescent="0.15"/>
    <row r="28" ht="25" customHeight="1" x14ac:dyDescent="0.15"/>
    <row r="29" ht="25" customHeight="1" x14ac:dyDescent="0.15"/>
    <row r="30" ht="25" customHeight="1" x14ac:dyDescent="0.15"/>
    <row r="31" ht="25" customHeight="1" x14ac:dyDescent="0.15"/>
    <row r="32" ht="25" customHeight="1" x14ac:dyDescent="0.15"/>
    <row r="33" ht="25" customHeight="1" x14ac:dyDescent="0.15"/>
    <row r="34" ht="25" customHeight="1" x14ac:dyDescent="0.15"/>
    <row r="35" ht="30" customHeight="1" x14ac:dyDescent="0.15"/>
    <row r="36" ht="30" customHeight="1" x14ac:dyDescent="0.15"/>
    <row r="37" ht="30" customHeight="1" x14ac:dyDescent="0.15"/>
    <row r="52" ht="47" customHeight="1" x14ac:dyDescent="0.15"/>
  </sheetData>
  <dataConsolidate/>
  <mergeCells count="28">
    <mergeCell ref="B1:K1"/>
    <mergeCell ref="K7:K8"/>
    <mergeCell ref="B2:D2"/>
    <mergeCell ref="F2:K2"/>
    <mergeCell ref="F3:F4"/>
    <mergeCell ref="F5:F6"/>
    <mergeCell ref="G5:G6"/>
    <mergeCell ref="H5:H6"/>
    <mergeCell ref="I5:I6"/>
    <mergeCell ref="J5:J6"/>
    <mergeCell ref="K5:K6"/>
    <mergeCell ref="F7:F8"/>
    <mergeCell ref="G7:G8"/>
    <mergeCell ref="H7:H8"/>
    <mergeCell ref="I7:I8"/>
    <mergeCell ref="J7:J8"/>
    <mergeCell ref="K11:K12"/>
    <mergeCell ref="F11:F12"/>
    <mergeCell ref="G11:G12"/>
    <mergeCell ref="H11:H12"/>
    <mergeCell ref="I11:I12"/>
    <mergeCell ref="J11:J12"/>
    <mergeCell ref="K9:K10"/>
    <mergeCell ref="F9:F10"/>
    <mergeCell ref="G9:G10"/>
    <mergeCell ref="H9:H10"/>
    <mergeCell ref="I9:I10"/>
    <mergeCell ref="J9:J10"/>
  </mergeCells>
  <conditionalFormatting sqref="I5 I7 I9">
    <cfRule type="iconSet" priority="182">
      <iconSet iconSet="3Arrows">
        <cfvo type="percent" val="0"/>
        <cfvo type="num" val="0"/>
        <cfvo type="num" val="0.01"/>
      </iconSet>
    </cfRule>
    <cfRule type="iconSet" priority="183">
      <iconSet showValue="0">
        <cfvo type="percent" val="0"/>
        <cfvo type="num" val="0.9"/>
        <cfvo type="num" val="0.95"/>
      </iconSet>
    </cfRule>
    <cfRule type="iconSet" priority="188">
      <iconSet iconSet="5Arrows">
        <cfvo type="percent" val="0"/>
        <cfvo type="percent" val="20"/>
        <cfvo type="percent" val="40"/>
        <cfvo type="percent" val="60"/>
        <cfvo type="percent" val="80"/>
      </iconSet>
    </cfRule>
    <cfRule type="iconSet" priority="189">
      <iconSet>
        <cfvo type="percent" val="0"/>
        <cfvo type="percent" val="33"/>
        <cfvo type="percent" val="67"/>
      </iconSet>
    </cfRule>
    <cfRule type="iconSet" priority="190">
      <iconSet iconSet="4Arrows">
        <cfvo type="percent" val="0"/>
        <cfvo type="percent" val="25"/>
        <cfvo type="percent" val="50"/>
        <cfvo type="percentile" val="75"/>
      </iconSet>
    </cfRule>
    <cfRule type="iconSet" priority="191">
      <iconSet iconSet="5Arrows">
        <cfvo type="percent" val="0"/>
        <cfvo type="percent" val="20"/>
        <cfvo type="percent" val="40"/>
        <cfvo type="percent" val="60"/>
        <cfvo type="percent" val="80"/>
      </iconSet>
    </cfRule>
    <cfRule type="iconSet" priority="192">
      <iconSet iconSet="3Arrows">
        <cfvo type="percent" val="0"/>
        <cfvo type="percent" val="33"/>
        <cfvo type="percent" val="67"/>
      </iconSet>
    </cfRule>
    <cfRule type="iconSet" priority="203">
      <iconSet iconSet="5Arrows">
        <cfvo type="percent" val="0"/>
        <cfvo type="num" val="-0.2"/>
        <cfvo type="num" val="-0.05"/>
        <cfvo type="num" val="0.05"/>
        <cfvo type="num" val="0.2"/>
      </iconSet>
    </cfRule>
  </conditionalFormatting>
  <conditionalFormatting sqref="I11">
    <cfRule type="iconSet" priority="1">
      <iconSet iconSet="3Arrows">
        <cfvo type="percent" val="0"/>
        <cfvo type="num" val="0"/>
        <cfvo type="num" val="0.01"/>
      </iconSet>
    </cfRule>
    <cfRule type="iconSet" priority="2">
      <iconSet iconSet="5Arrows">
        <cfvo type="percent" val="0"/>
        <cfvo type="num" val="-0.2"/>
        <cfvo type="num" val="-0.05"/>
        <cfvo type="num" val="0.05"/>
        <cfvo type="num" val="0.2"/>
      </iconSet>
    </cfRule>
    <cfRule type="iconSet" priority="3">
      <iconSet iconSet="5Arrows">
        <cfvo type="percent" val="0"/>
        <cfvo type="percent" val="20"/>
        <cfvo type="percent" val="40"/>
        <cfvo type="percent" val="60"/>
        <cfvo type="percent" val="80"/>
      </iconSet>
    </cfRule>
    <cfRule type="iconSet" priority="4">
      <iconSet showValue="0">
        <cfvo type="percent" val="0"/>
        <cfvo type="num" val="0.9"/>
        <cfvo type="num" val="0.95"/>
      </iconSet>
    </cfRule>
    <cfRule type="iconSet" priority="5">
      <iconSet>
        <cfvo type="percent" val="0"/>
        <cfvo type="percent" val="33"/>
        <cfvo type="percent" val="67"/>
      </iconSet>
    </cfRule>
    <cfRule type="iconSet" priority="6">
      <iconSet iconSet="4Arrows">
        <cfvo type="percent" val="0"/>
        <cfvo type="percent" val="25"/>
        <cfvo type="percent" val="50"/>
        <cfvo type="percentile" val="75"/>
      </iconSet>
    </cfRule>
    <cfRule type="iconSet" priority="7">
      <iconSet iconSet="5Arrows">
        <cfvo type="percent" val="0"/>
        <cfvo type="percent" val="20"/>
        <cfvo type="percent" val="40"/>
        <cfvo type="percent" val="60"/>
        <cfvo type="percent" val="80"/>
      </iconSet>
    </cfRule>
    <cfRule type="iconSet" priority="8">
      <iconSet iconSet="3Arrows">
        <cfvo type="percent" val="0"/>
        <cfvo type="percent" val="33"/>
        <cfvo type="percent" val="67"/>
      </iconSet>
    </cfRule>
  </conditionalFormatting>
  <conditionalFormatting sqref="K5 K7">
    <cfRule type="dataBar" priority="44">
      <dataBar>
        <cfvo type="min"/>
        <cfvo type="max"/>
        <color rgb="FF638EC6"/>
      </dataBar>
      <extLst>
        <ext xmlns:x14="http://schemas.microsoft.com/office/spreadsheetml/2009/9/main" uri="{B025F937-C7B1-47D3-B67F-A62EFF666E3E}">
          <x14:id>{20F6E961-3492-46A5-B5F4-0B2942E81789}</x14:id>
        </ext>
      </extLst>
    </cfRule>
  </conditionalFormatting>
  <conditionalFormatting sqref="K9">
    <cfRule type="dataBar" priority="43">
      <dataBar>
        <cfvo type="min"/>
        <cfvo type="max"/>
        <color rgb="FF638EC6"/>
      </dataBar>
      <extLst>
        <ext xmlns:x14="http://schemas.microsoft.com/office/spreadsheetml/2009/9/main" uri="{B025F937-C7B1-47D3-B67F-A62EFF666E3E}">
          <x14:id>{5DCEE76B-13BD-4759-88D6-68FCEA27BE4A}</x14:id>
        </ext>
      </extLst>
    </cfRule>
  </conditionalFormatting>
  <conditionalFormatting sqref="K11">
    <cfRule type="dataBar" priority="9">
      <dataBar>
        <cfvo type="min"/>
        <cfvo type="max"/>
        <color rgb="FF638EC6"/>
      </dataBar>
      <extLst>
        <ext xmlns:x14="http://schemas.microsoft.com/office/spreadsheetml/2009/9/main" uri="{B025F937-C7B1-47D3-B67F-A62EFF666E3E}">
          <x14:id>{7140583E-CE41-8D4D-AAA6-C9566B8F3727}</x14:id>
        </ext>
      </extLst>
    </cfRule>
  </conditionalFormatting>
  <pageMargins left="0.75" right="0.75" top="1" bottom="1" header="0.5" footer="0.5"/>
  <pageSetup scale="75" orientation="landscape" r:id="rId1"/>
  <headerFooter alignWithMargins="0"/>
  <drawing r:id="rId2"/>
  <extLst>
    <ext xmlns:x14="http://schemas.microsoft.com/office/spreadsheetml/2009/9/main" uri="{78C0D931-6437-407d-A8EE-F0AAD7539E65}">
      <x14:conditionalFormattings>
        <x14:conditionalFormatting xmlns:xm="http://schemas.microsoft.com/office/excel/2006/main">
          <x14:cfRule type="dataBar" id="{20F6E961-3492-46A5-B5F4-0B2942E81789}">
            <x14:dataBar minLength="0" maxLength="100" negativeBarColorSameAsPositive="1" axisPosition="none">
              <x14:cfvo type="min"/>
              <x14:cfvo type="max"/>
            </x14:dataBar>
          </x14:cfRule>
          <xm:sqref>K5 K7</xm:sqref>
        </x14:conditionalFormatting>
        <x14:conditionalFormatting xmlns:xm="http://schemas.microsoft.com/office/excel/2006/main">
          <x14:cfRule type="dataBar" id="{5DCEE76B-13BD-4759-88D6-68FCEA27BE4A}">
            <x14:dataBar minLength="0" maxLength="100" negativeBarColorSameAsPositive="1" axisPosition="none">
              <x14:cfvo type="min"/>
              <x14:cfvo type="max"/>
            </x14:dataBar>
          </x14:cfRule>
          <xm:sqref>K9</xm:sqref>
        </x14:conditionalFormatting>
        <x14:conditionalFormatting xmlns:xm="http://schemas.microsoft.com/office/excel/2006/main">
          <x14:cfRule type="dataBar" id="{7140583E-CE41-8D4D-AAA6-C9566B8F3727}">
            <x14:dataBar minLength="0" maxLength="100" negativeBarColorSameAsPositive="1" axisPosition="none">
              <x14:cfvo type="min"/>
              <x14:cfvo type="max"/>
            </x14:dataBar>
          </x14:cfRule>
          <xm:sqref>K11</xm:sqref>
        </x14:conditionalFormatting>
      </x14:conditionalFormattings>
    </ext>
    <ext xmlns:x14="http://schemas.microsoft.com/office/spreadsheetml/2009/9/main" uri="{05C60535-1F16-4fd2-B633-F4F36F0B64E0}">
      <x14:sparklineGroups xmlns:xm="http://schemas.microsoft.com/office/excel/2006/main">
        <x14:sparklineGroup manualMax="0" manualMin="0" displayEmptyCellsAs="gap" high="1" xr2:uid="{00000000-0003-0000-0300-000009000000}">
          <x14:colorSeries rgb="FF376092"/>
          <x14:colorNegative rgb="FFD00000"/>
          <x14:colorAxis rgb="FF000000"/>
          <x14:colorMarkers rgb="FFD00000"/>
          <x14:colorFirst rgb="FFD00000"/>
          <x14:colorLast rgb="FFD00000"/>
          <x14:colorHigh rgb="FFD00000"/>
          <x14:colorLow rgb="FFD00000"/>
          <x14:sparklines>
            <x14:sparkline>
              <xm:f>data!C213:C224</xm:f>
              <xm:sqref>K11</xm:sqref>
            </x14:sparkline>
          </x14:sparklines>
        </x14:sparklineGroup>
        <x14:sparklineGroup manualMax="0" manualMin="0" displayEmptyCellsAs="gap" high="1" xr2:uid="{00000000-0003-0000-0300-000005000000}">
          <x14:colorSeries rgb="FF376092"/>
          <x14:colorNegative rgb="FFD00000"/>
          <x14:colorAxis rgb="FF000000"/>
          <x14:colorMarkers rgb="FFD00000"/>
          <x14:colorFirst rgb="FFD00000"/>
          <x14:colorLast rgb="FFD00000"/>
          <x14:colorHigh rgb="FFD00000"/>
          <x14:colorLow rgb="FFD00000"/>
          <x14:sparklines>
            <x14:sparkline>
              <xm:f>data!C55:C66</xm:f>
              <xm:sqref>K7</xm:sqref>
            </x14:sparkline>
          </x14:sparklines>
        </x14:sparklineGroup>
        <x14:sparklineGroup manualMax="0" manualMin="0" displayEmptyCellsAs="gap" high="1" xr2:uid="{00000000-0003-0000-0300-000006000000}">
          <x14:colorSeries rgb="FF376092"/>
          <x14:colorNegative rgb="FFD00000"/>
          <x14:colorAxis rgb="FF000000"/>
          <x14:colorMarkers rgb="FFD00000"/>
          <x14:colorFirst rgb="FFD00000"/>
          <x14:colorLast rgb="FFD00000"/>
          <x14:colorHigh rgb="FFD00000"/>
          <x14:colorLow rgb="FFD00000"/>
          <x14:sparklines>
            <x14:sparkline>
              <xm:f>data!C3:C14</xm:f>
              <xm:sqref>K5</xm:sqref>
            </x14:sparkline>
          </x14:sparklines>
        </x14:sparklineGroup>
        <x14:sparklineGroup manualMax="0" manualMin="0" displayEmptyCellsAs="gap" high="1" xr2:uid="{00000000-0003-0000-0300-000007000000}">
          <x14:colorSeries rgb="FF376092"/>
          <x14:colorNegative rgb="FFD00000"/>
          <x14:colorAxis rgb="FF000000"/>
          <x14:colorMarkers rgb="FFD00000"/>
          <x14:colorFirst rgb="FFD00000"/>
          <x14:colorLast rgb="FFD00000"/>
          <x14:colorHigh rgb="FFD00000"/>
          <x14:colorLow rgb="FFD00000"/>
          <x14:sparklines>
            <x14:sparkline>
              <xm:f>data!C106:C117</xm:f>
              <xm:sqref>K9</xm:sqref>
            </x14:sparkline>
          </x14:sparklines>
        </x14:sparklineGroup>
      </x14:sparklineGroup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0"/>
  </sheetPr>
  <dimension ref="A1:K37"/>
  <sheetViews>
    <sheetView zoomScale="95" zoomScaleNormal="95" zoomScalePageLayoutView="90" workbookViewId="0">
      <selection activeCell="D9" sqref="D9"/>
    </sheetView>
  </sheetViews>
  <sheetFormatPr baseColWidth="10" defaultColWidth="11.5" defaultRowHeight="13" x14ac:dyDescent="0.15"/>
  <cols>
    <col min="1" max="1" width="7.1640625" customWidth="1"/>
    <col min="2" max="2" width="62.1640625" customWidth="1"/>
    <col min="3" max="3" width="20.6640625" customWidth="1"/>
    <col min="4" max="4" width="18.6640625" customWidth="1"/>
    <col min="5" max="5" width="3.5" customWidth="1"/>
    <col min="6" max="6" width="15.1640625" customWidth="1"/>
    <col min="7" max="7" width="13" customWidth="1"/>
    <col min="8" max="8" width="1.6640625" customWidth="1"/>
    <col min="9" max="9" width="14.5" customWidth="1"/>
    <col min="10" max="10" width="15" customWidth="1"/>
    <col min="11" max="11" width="29.5" customWidth="1"/>
    <col min="12" max="12" width="19.83203125" customWidth="1"/>
    <col min="13" max="13" width="22.1640625" customWidth="1"/>
  </cols>
  <sheetData>
    <row r="1" spans="1:11" ht="52" customHeight="1" thickBot="1" x14ac:dyDescent="0.2">
      <c r="A1" s="7"/>
      <c r="B1" s="329" t="str">
        <f>CONCATENATE("CDDIS Summary for ", Summary_data!X1)</f>
        <v>CDDIS Summary for FY 2025</v>
      </c>
      <c r="C1" s="329"/>
      <c r="D1" s="329"/>
      <c r="E1" s="329"/>
      <c r="F1" s="329"/>
      <c r="G1" s="329"/>
      <c r="H1" s="329"/>
      <c r="I1" s="329"/>
      <c r="J1" s="329"/>
      <c r="K1" s="329"/>
    </row>
    <row r="2" spans="1:11" ht="25" customHeight="1" thickBot="1" x14ac:dyDescent="0.2">
      <c r="B2" s="335" t="str">
        <f>Summary_data!Z2</f>
        <v>FY2025 Metrics (Oct 2024 to Sep 2025)</v>
      </c>
      <c r="C2" s="336"/>
      <c r="D2" s="337"/>
      <c r="F2" s="340" t="str">
        <f>CONCATENATE(data!$D$2, " Distribution and User Trends ", Summary_data!W1)</f>
        <v>CDDIS Distribution and User Trends (Oct 2024 to Sep 2025)</v>
      </c>
      <c r="G2" s="341"/>
      <c r="H2" s="341"/>
      <c r="I2" s="342"/>
      <c r="J2" s="342"/>
      <c r="K2" s="343"/>
    </row>
    <row r="3" spans="1:11" ht="18" customHeight="1" thickBot="1" x14ac:dyDescent="0.2">
      <c r="B3" s="37" t="s">
        <v>64</v>
      </c>
      <c r="C3" s="37" t="s">
        <v>63</v>
      </c>
      <c r="D3" s="37" t="str">
        <f>Summary_data!C6</f>
        <v>CDDIS</v>
      </c>
      <c r="F3" s="344" t="s">
        <v>64</v>
      </c>
      <c r="G3" s="38" t="s">
        <v>11</v>
      </c>
      <c r="H3" s="39"/>
      <c r="I3" s="40" t="s">
        <v>25</v>
      </c>
      <c r="J3" s="40" t="s">
        <v>32</v>
      </c>
      <c r="K3" s="41" t="s">
        <v>26</v>
      </c>
    </row>
    <row r="4" spans="1:11" ht="16" customHeight="1" thickBot="1" x14ac:dyDescent="0.2">
      <c r="B4" s="224" t="s">
        <v>137</v>
      </c>
      <c r="C4" s="53">
        <f>Summary_data!AA13</f>
        <v>18755</v>
      </c>
      <c r="D4" s="55">
        <f>Summary_data!D$6</f>
        <v>158</v>
      </c>
      <c r="F4" s="345"/>
      <c r="G4" s="42" t="str">
        <f>Summary_data!AE2</f>
        <v>FY2025</v>
      </c>
      <c r="H4" s="43"/>
      <c r="I4" s="44" t="str">
        <f>Summary_data!AF2</f>
        <v>FY2024</v>
      </c>
      <c r="J4" s="43" t="s">
        <v>27</v>
      </c>
      <c r="K4" s="45" t="s">
        <v>28</v>
      </c>
    </row>
    <row r="5" spans="1:11" ht="21" customHeight="1" thickBot="1" x14ac:dyDescent="0.2">
      <c r="B5" s="226" t="s">
        <v>150</v>
      </c>
      <c r="C5" s="53" t="str">
        <f>Summary_data!AA14</f>
        <v>10 M</v>
      </c>
      <c r="D5" s="56">
        <f>Summary_data!I$6</f>
        <v>209737</v>
      </c>
      <c r="F5" s="348" t="s">
        <v>68</v>
      </c>
      <c r="G5" s="358">
        <f>data!$D$15</f>
        <v>1192.952957</v>
      </c>
      <c r="H5" s="338"/>
      <c r="I5" s="332">
        <f>(data!$D$15-data!$D$17)/data!$D$17</f>
        <v>3.7672481906449194E-2</v>
      </c>
      <c r="J5" s="339">
        <f>data!$D$16</f>
        <v>99.412746416666664</v>
      </c>
      <c r="K5" s="333"/>
    </row>
    <row r="6" spans="1:11" ht="18" customHeight="1" thickBot="1" x14ac:dyDescent="0.2">
      <c r="B6" s="226" t="s">
        <v>151</v>
      </c>
      <c r="C6" s="53" t="str">
        <f>Summary_data!AA15</f>
        <v>14.9  M</v>
      </c>
      <c r="D6" s="56">
        <f>Summary_data!K$6</f>
        <v>382926</v>
      </c>
      <c r="F6" s="330"/>
      <c r="G6" s="359"/>
      <c r="H6" s="323"/>
      <c r="I6" s="325"/>
      <c r="J6" s="334"/>
      <c r="K6" s="317"/>
    </row>
    <row r="7" spans="1:11" ht="18" customHeight="1" thickBot="1" x14ac:dyDescent="0.2">
      <c r="B7" s="226" t="s">
        <v>0</v>
      </c>
      <c r="C7" s="58" t="str">
        <f>Summary_data!AA16</f>
        <v>160 TB/day</v>
      </c>
      <c r="D7" s="54" t="str">
        <f>CONCATENATE(FIXED(1024*Summary_data!$N$6,2), " GB/day")</f>
        <v>47.43 GB/day</v>
      </c>
      <c r="F7" s="319" t="s">
        <v>62</v>
      </c>
      <c r="G7" s="360">
        <f>data!$D$67</f>
        <v>1508.5462092773241</v>
      </c>
      <c r="H7" s="323"/>
      <c r="I7" s="332">
        <f>(data!$D$67-data!$D$69)/data!$D$69</f>
        <v>2.0548770642550935</v>
      </c>
      <c r="J7" s="334">
        <f>data!$D$68</f>
        <v>125.71218410644367</v>
      </c>
      <c r="K7" s="317"/>
    </row>
    <row r="8" spans="1:11" ht="18" customHeight="1" thickBot="1" x14ac:dyDescent="0.2">
      <c r="B8" s="226" t="s">
        <v>152</v>
      </c>
      <c r="C8" s="58" t="str">
        <f>Summary_data!AA17</f>
        <v>178.7 PB</v>
      </c>
      <c r="D8" s="57" t="str">
        <f>CONCATENATE(FIXED(Summary_data!$O$6,1), " TB")</f>
        <v>139.7 TB</v>
      </c>
      <c r="F8" s="330"/>
      <c r="G8" s="361"/>
      <c r="H8" s="323"/>
      <c r="I8" s="325"/>
      <c r="J8" s="334"/>
      <c r="K8" s="317"/>
    </row>
    <row r="9" spans="1:11" ht="18" customHeight="1" thickBot="1" x14ac:dyDescent="0.2">
      <c r="B9" s="226" t="s">
        <v>153</v>
      </c>
      <c r="C9" s="53" t="str">
        <f>Summary_data!AA18</f>
        <v>116.2 PB</v>
      </c>
      <c r="D9" s="56"/>
      <c r="F9" s="319" t="s">
        <v>58</v>
      </c>
      <c r="G9" s="321">
        <f>data!$D$120</f>
        <v>98097</v>
      </c>
      <c r="H9" s="323"/>
      <c r="I9" s="332">
        <f>(data!$D$120-data!$D$121)/data!$D$121</f>
        <v>-0.47801031240521685</v>
      </c>
      <c r="J9" s="327">
        <f>data!$D$119</f>
        <v>13761.333333333334</v>
      </c>
      <c r="K9" s="317"/>
    </row>
    <row r="10" spans="1:11" ht="18" customHeight="1" thickBot="1" x14ac:dyDescent="0.2">
      <c r="B10" s="226" t="s">
        <v>154</v>
      </c>
      <c r="C10" s="53" t="str">
        <f>Summary_data!AA19</f>
        <v>7,799.9 M</v>
      </c>
      <c r="D10" s="56" t="str">
        <f>CONCATENATE(FIXED(Summary_data!$R$6,1), " M")</f>
        <v>1,193.0 M</v>
      </c>
      <c r="F10" s="330"/>
      <c r="G10" s="357"/>
      <c r="H10" s="323"/>
      <c r="I10" s="325"/>
      <c r="J10" s="327"/>
      <c r="K10" s="317"/>
    </row>
    <row r="11" spans="1:11" ht="18" customHeight="1" thickBot="1" x14ac:dyDescent="0.2">
      <c r="B11" s="226" t="s">
        <v>155</v>
      </c>
      <c r="C11" s="53" t="str">
        <f>Summary_data!AA20</f>
        <v>4,316.1 M</v>
      </c>
      <c r="D11" s="56"/>
      <c r="E11" s="5"/>
      <c r="F11" s="319" t="s">
        <v>125</v>
      </c>
      <c r="G11" s="321">
        <f>data!$D$227</f>
        <v>151377</v>
      </c>
      <c r="H11" s="323"/>
      <c r="I11" s="325">
        <f>(data!$D$227-data!$D$228)/data!$D$228</f>
        <v>7.2561217549030721E-2</v>
      </c>
      <c r="J11" s="327">
        <f>data!$D$226</f>
        <v>12614.75</v>
      </c>
      <c r="K11" s="317"/>
    </row>
    <row r="12" spans="1:11" ht="18" customHeight="1" thickBot="1" x14ac:dyDescent="0.2">
      <c r="B12" s="226" t="s">
        <v>156</v>
      </c>
      <c r="C12" s="53" t="str">
        <f>Summary_data!AA21</f>
        <v>600 TB/day</v>
      </c>
      <c r="D12" s="56" t="str">
        <f>CONCATENATE(FIXED(1024*Summary_data!$T$6,1), " GB/day")</f>
        <v>4,232.2 GB/day</v>
      </c>
      <c r="F12" s="320"/>
      <c r="G12" s="356"/>
      <c r="H12" s="324"/>
      <c r="I12" s="326"/>
      <c r="J12" s="328"/>
      <c r="K12" s="318"/>
    </row>
    <row r="13" spans="1:11" ht="18" customHeight="1" x14ac:dyDescent="0.15"/>
    <row r="14" spans="1:11" ht="18" customHeight="1" x14ac:dyDescent="0.15"/>
    <row r="15" spans="1:11" ht="18" customHeight="1" x14ac:dyDescent="0.15"/>
    <row r="16" spans="1:11" ht="25" customHeight="1" x14ac:dyDescent="0.15"/>
    <row r="17" ht="25" customHeight="1" x14ac:dyDescent="0.15"/>
    <row r="18" ht="25" customHeight="1" x14ac:dyDescent="0.15"/>
    <row r="19" ht="25" customHeight="1" x14ac:dyDescent="0.15"/>
    <row r="20" ht="25" customHeight="1" x14ac:dyDescent="0.15"/>
    <row r="21" ht="25" customHeight="1" x14ac:dyDescent="0.15"/>
    <row r="22" ht="25" customHeight="1" x14ac:dyDescent="0.15"/>
    <row r="23" ht="25" customHeight="1" x14ac:dyDescent="0.15"/>
    <row r="24" ht="25" customHeight="1" x14ac:dyDescent="0.15"/>
    <row r="25" ht="25" customHeight="1" x14ac:dyDescent="0.15"/>
    <row r="26" ht="25" customHeight="1" x14ac:dyDescent="0.15"/>
    <row r="27" ht="25" customHeight="1" x14ac:dyDescent="0.15"/>
    <row r="28" ht="25" customHeight="1" x14ac:dyDescent="0.15"/>
    <row r="29" ht="25" customHeight="1" x14ac:dyDescent="0.15"/>
    <row r="30" ht="25" customHeight="1" x14ac:dyDescent="0.15"/>
    <row r="31" ht="25" customHeight="1" x14ac:dyDescent="0.15"/>
    <row r="32" ht="25" customHeight="1" x14ac:dyDescent="0.15"/>
    <row r="33" ht="25" customHeight="1" x14ac:dyDescent="0.15"/>
    <row r="34" ht="25" customHeight="1" x14ac:dyDescent="0.15"/>
    <row r="35" ht="30" customHeight="1" x14ac:dyDescent="0.15"/>
    <row r="36" ht="30" customHeight="1" x14ac:dyDescent="0.15"/>
    <row r="37" ht="30" customHeight="1" x14ac:dyDescent="0.15"/>
  </sheetData>
  <dataConsolidate/>
  <mergeCells count="28">
    <mergeCell ref="K5:K6"/>
    <mergeCell ref="F7:F8"/>
    <mergeCell ref="G7:G8"/>
    <mergeCell ref="H7:H8"/>
    <mergeCell ref="I7:I8"/>
    <mergeCell ref="J7:J8"/>
    <mergeCell ref="B1:K1"/>
    <mergeCell ref="F9:F10"/>
    <mergeCell ref="G9:G10"/>
    <mergeCell ref="H9:H10"/>
    <mergeCell ref="I9:I10"/>
    <mergeCell ref="J9:J10"/>
    <mergeCell ref="K9:K10"/>
    <mergeCell ref="K7:K8"/>
    <mergeCell ref="B2:D2"/>
    <mergeCell ref="F2:K2"/>
    <mergeCell ref="F3:F4"/>
    <mergeCell ref="F5:F6"/>
    <mergeCell ref="G5:G6"/>
    <mergeCell ref="H5:H6"/>
    <mergeCell ref="I5:I6"/>
    <mergeCell ref="J5:J6"/>
    <mergeCell ref="K11:K12"/>
    <mergeCell ref="F11:F12"/>
    <mergeCell ref="G11:G12"/>
    <mergeCell ref="H11:H12"/>
    <mergeCell ref="I11:I12"/>
    <mergeCell ref="J11:J12"/>
  </mergeCells>
  <conditionalFormatting sqref="I5 I7 I9">
    <cfRule type="iconSet" priority="204">
      <iconSet iconSet="3Arrows">
        <cfvo type="percent" val="0"/>
        <cfvo type="num" val="0"/>
        <cfvo type="num" val="0.01"/>
      </iconSet>
    </cfRule>
    <cfRule type="iconSet" priority="205">
      <iconSet showValue="0">
        <cfvo type="percent" val="0"/>
        <cfvo type="num" val="0.9"/>
        <cfvo type="num" val="0.95"/>
      </iconSet>
    </cfRule>
    <cfRule type="iconSet" priority="210">
      <iconSet iconSet="5Arrows">
        <cfvo type="percent" val="0"/>
        <cfvo type="percent" val="20"/>
        <cfvo type="percent" val="40"/>
        <cfvo type="percent" val="60"/>
        <cfvo type="percent" val="80"/>
      </iconSet>
    </cfRule>
    <cfRule type="iconSet" priority="211">
      <iconSet>
        <cfvo type="percent" val="0"/>
        <cfvo type="percent" val="33"/>
        <cfvo type="percent" val="67"/>
      </iconSet>
    </cfRule>
    <cfRule type="iconSet" priority="212">
      <iconSet iconSet="4Arrows">
        <cfvo type="percent" val="0"/>
        <cfvo type="percent" val="25"/>
        <cfvo type="percent" val="50"/>
        <cfvo type="percentile" val="75"/>
      </iconSet>
    </cfRule>
    <cfRule type="iconSet" priority="213">
      <iconSet iconSet="5Arrows">
        <cfvo type="percent" val="0"/>
        <cfvo type="percent" val="20"/>
        <cfvo type="percent" val="40"/>
        <cfvo type="percent" val="60"/>
        <cfvo type="percent" val="80"/>
      </iconSet>
    </cfRule>
    <cfRule type="iconSet" priority="214">
      <iconSet iconSet="3Arrows">
        <cfvo type="percent" val="0"/>
        <cfvo type="percent" val="33"/>
        <cfvo type="percent" val="67"/>
      </iconSet>
    </cfRule>
    <cfRule type="iconSet" priority="225">
      <iconSet iconSet="5Arrows">
        <cfvo type="percent" val="0"/>
        <cfvo type="num" val="-0.2"/>
        <cfvo type="num" val="-0.05"/>
        <cfvo type="num" val="0.05"/>
        <cfvo type="num" val="0.2"/>
      </iconSet>
    </cfRule>
  </conditionalFormatting>
  <conditionalFormatting sqref="I11">
    <cfRule type="iconSet" priority="1">
      <iconSet iconSet="3Arrows">
        <cfvo type="percent" val="0"/>
        <cfvo type="num" val="0"/>
        <cfvo type="num" val="0.01"/>
      </iconSet>
    </cfRule>
    <cfRule type="iconSet" priority="2">
      <iconSet iconSet="5Arrows">
        <cfvo type="percent" val="0"/>
        <cfvo type="num" val="-0.2"/>
        <cfvo type="num" val="-0.05"/>
        <cfvo type="num" val="0.05"/>
        <cfvo type="num" val="0.2"/>
      </iconSet>
    </cfRule>
    <cfRule type="iconSet" priority="3">
      <iconSet iconSet="5Arrows">
        <cfvo type="percent" val="0"/>
        <cfvo type="percent" val="20"/>
        <cfvo type="percent" val="40"/>
        <cfvo type="percent" val="60"/>
        <cfvo type="percent" val="80"/>
      </iconSet>
    </cfRule>
    <cfRule type="iconSet" priority="4">
      <iconSet showValue="0">
        <cfvo type="percent" val="0"/>
        <cfvo type="num" val="0.9"/>
        <cfvo type="num" val="0.95"/>
      </iconSet>
    </cfRule>
    <cfRule type="iconSet" priority="5">
      <iconSet>
        <cfvo type="percent" val="0"/>
        <cfvo type="percent" val="33"/>
        <cfvo type="percent" val="67"/>
      </iconSet>
    </cfRule>
    <cfRule type="iconSet" priority="6">
      <iconSet iconSet="4Arrows">
        <cfvo type="percent" val="0"/>
        <cfvo type="percent" val="25"/>
        <cfvo type="percent" val="50"/>
        <cfvo type="percentile" val="75"/>
      </iconSet>
    </cfRule>
    <cfRule type="iconSet" priority="7">
      <iconSet iconSet="5Arrows">
        <cfvo type="percent" val="0"/>
        <cfvo type="percent" val="20"/>
        <cfvo type="percent" val="40"/>
        <cfvo type="percent" val="60"/>
        <cfvo type="percent" val="80"/>
      </iconSet>
    </cfRule>
    <cfRule type="iconSet" priority="8">
      <iconSet iconSet="3Arrows">
        <cfvo type="percent" val="0"/>
        <cfvo type="percent" val="33"/>
        <cfvo type="percent" val="67"/>
      </iconSet>
    </cfRule>
  </conditionalFormatting>
  <conditionalFormatting sqref="K5 K7">
    <cfRule type="dataBar" priority="44">
      <dataBar>
        <cfvo type="min"/>
        <cfvo type="max"/>
        <color rgb="FF638EC6"/>
      </dataBar>
      <extLst>
        <ext xmlns:x14="http://schemas.microsoft.com/office/spreadsheetml/2009/9/main" uri="{B025F937-C7B1-47D3-B67F-A62EFF666E3E}">
          <x14:id>{B3E61D38-AF46-3942-98B4-4A05060E3E1C}</x14:id>
        </ext>
      </extLst>
    </cfRule>
  </conditionalFormatting>
  <conditionalFormatting sqref="K9">
    <cfRule type="dataBar" priority="43">
      <dataBar>
        <cfvo type="min"/>
        <cfvo type="max"/>
        <color rgb="FF638EC6"/>
      </dataBar>
      <extLst>
        <ext xmlns:x14="http://schemas.microsoft.com/office/spreadsheetml/2009/9/main" uri="{B025F937-C7B1-47D3-B67F-A62EFF666E3E}">
          <x14:id>{A35396C3-EFD6-8845-BA57-3F3E0E389052}</x14:id>
        </ext>
      </extLst>
    </cfRule>
  </conditionalFormatting>
  <conditionalFormatting sqref="K11">
    <cfRule type="dataBar" priority="9">
      <dataBar>
        <cfvo type="min"/>
        <cfvo type="max"/>
        <color rgb="FF638EC6"/>
      </dataBar>
      <extLst>
        <ext xmlns:x14="http://schemas.microsoft.com/office/spreadsheetml/2009/9/main" uri="{B025F937-C7B1-47D3-B67F-A62EFF666E3E}">
          <x14:id>{CCE96D12-D5B7-2149-9FAA-578B2CBB4708}</x14:id>
        </ext>
      </extLst>
    </cfRule>
  </conditionalFormatting>
  <pageMargins left="0.75" right="0.75" top="1" bottom="1" header="0.5" footer="0.5"/>
  <pageSetup scale="75" orientation="landscape" r:id="rId1"/>
  <headerFooter alignWithMargins="0"/>
  <drawing r:id="rId2"/>
  <extLst>
    <ext xmlns:x14="http://schemas.microsoft.com/office/spreadsheetml/2009/9/main" uri="{78C0D931-6437-407d-A8EE-F0AAD7539E65}">
      <x14:conditionalFormattings>
        <x14:conditionalFormatting xmlns:xm="http://schemas.microsoft.com/office/excel/2006/main">
          <x14:cfRule type="dataBar" id="{B3E61D38-AF46-3942-98B4-4A05060E3E1C}">
            <x14:dataBar minLength="0" maxLength="100" negativeBarColorSameAsPositive="1" axisPosition="none">
              <x14:cfvo type="min"/>
              <x14:cfvo type="max"/>
            </x14:dataBar>
          </x14:cfRule>
          <xm:sqref>K5 K7</xm:sqref>
        </x14:conditionalFormatting>
        <x14:conditionalFormatting xmlns:xm="http://schemas.microsoft.com/office/excel/2006/main">
          <x14:cfRule type="dataBar" id="{A35396C3-EFD6-8845-BA57-3F3E0E389052}">
            <x14:dataBar minLength="0" maxLength="100" negativeBarColorSameAsPositive="1" axisPosition="none">
              <x14:cfvo type="min"/>
              <x14:cfvo type="max"/>
            </x14:dataBar>
          </x14:cfRule>
          <xm:sqref>K9</xm:sqref>
        </x14:conditionalFormatting>
        <x14:conditionalFormatting xmlns:xm="http://schemas.microsoft.com/office/excel/2006/main">
          <x14:cfRule type="dataBar" id="{CCE96D12-D5B7-2149-9FAA-578B2CBB4708}">
            <x14:dataBar minLength="0" maxLength="100" negativeBarColorSameAsPositive="1" axisPosition="none">
              <x14:cfvo type="min"/>
              <x14:cfvo type="max"/>
            </x14:dataBar>
          </x14:cfRule>
          <xm:sqref>K11</xm:sqref>
        </x14:conditionalFormatting>
      </x14:conditionalFormattings>
    </ext>
    <ext xmlns:x14="http://schemas.microsoft.com/office/spreadsheetml/2009/9/main" uri="{05C60535-1F16-4fd2-B633-F4F36F0B64E0}">
      <x14:sparklineGroups xmlns:xm="http://schemas.microsoft.com/office/excel/2006/main">
        <x14:sparklineGroup manualMax="0" manualMin="0" displayEmptyCellsAs="gap" high="1" xr2:uid="{00000000-0003-0000-0400-00000E000000}">
          <x14:colorSeries rgb="FF376092"/>
          <x14:colorNegative rgb="FFD00000"/>
          <x14:colorAxis rgb="FF000000"/>
          <x14:colorMarkers rgb="FFD00000"/>
          <x14:colorFirst rgb="FFD00000"/>
          <x14:colorLast rgb="FFD00000"/>
          <x14:colorHigh rgb="FFD00000"/>
          <x14:colorLow rgb="FFD00000"/>
          <x14:sparklines>
            <x14:sparkline>
              <xm:f>data!D213:D224</xm:f>
              <xm:sqref>K11</xm:sqref>
            </x14:sparkline>
          </x14:sparklines>
        </x14:sparklineGroup>
        <x14:sparklineGroup manualMax="0" manualMin="0" displayEmptyCellsAs="gap" high="1" xr2:uid="{00000000-0003-0000-0400-00000B000000}">
          <x14:colorSeries rgb="FF376092"/>
          <x14:colorNegative rgb="FFD00000"/>
          <x14:colorAxis rgb="FF000000"/>
          <x14:colorMarkers rgb="FFD00000"/>
          <x14:colorFirst rgb="FFD00000"/>
          <x14:colorLast rgb="FFD00000"/>
          <x14:colorHigh rgb="FFD00000"/>
          <x14:colorLow rgb="FFD00000"/>
          <x14:sparklines>
            <x14:sparkline>
              <xm:f>data!D106:D117</xm:f>
              <xm:sqref>K9</xm:sqref>
            </x14:sparkline>
          </x14:sparklines>
        </x14:sparklineGroup>
        <x14:sparklineGroup manualMax="0" manualMin="0" displayEmptyCellsAs="gap" high="1" xr2:uid="{00000000-0003-0000-0400-00000C000000}">
          <x14:colorSeries rgb="FF376092"/>
          <x14:colorNegative rgb="FFD00000"/>
          <x14:colorAxis rgb="FF000000"/>
          <x14:colorMarkers rgb="FFD00000"/>
          <x14:colorFirst rgb="FFD00000"/>
          <x14:colorLast rgb="FFD00000"/>
          <x14:colorHigh rgb="FFD00000"/>
          <x14:colorLow rgb="FFD00000"/>
          <x14:sparklines>
            <x14:sparkline>
              <xm:f>data!D3:D14</xm:f>
              <xm:sqref>K5</xm:sqref>
            </x14:sparkline>
          </x14:sparklines>
        </x14:sparklineGroup>
        <x14:sparklineGroup manualMax="0" manualMin="0" displayEmptyCellsAs="gap" high="1" xr2:uid="{00000000-0003-0000-0400-00000D000000}">
          <x14:colorSeries rgb="FF376092"/>
          <x14:colorNegative rgb="FFD00000"/>
          <x14:colorAxis rgb="FF000000"/>
          <x14:colorMarkers rgb="FFD00000"/>
          <x14:colorFirst rgb="FFD00000"/>
          <x14:colorLast rgb="FFD00000"/>
          <x14:colorHigh rgb="FFD00000"/>
          <x14:colorLow rgb="FFD00000"/>
          <x14:sparklines>
            <x14:sparkline>
              <xm:f>data!D55:D66</xm:f>
              <xm:sqref>K7</xm:sqref>
            </x14:sparkline>
          </x14:sparklines>
        </x14:sparklineGroup>
      </x14:sparklineGroup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0"/>
  </sheetPr>
  <dimension ref="A1:K37"/>
  <sheetViews>
    <sheetView zoomScale="78" zoomScaleNormal="78" zoomScalePageLayoutView="90" workbookViewId="0">
      <selection activeCell="L24" sqref="L24"/>
    </sheetView>
  </sheetViews>
  <sheetFormatPr baseColWidth="10" defaultColWidth="11.5" defaultRowHeight="13" x14ac:dyDescent="0.15"/>
  <cols>
    <col min="1" max="1" width="7.1640625" customWidth="1"/>
    <col min="2" max="2" width="63.83203125" customWidth="1"/>
    <col min="3" max="3" width="20.6640625" customWidth="1"/>
    <col min="4" max="4" width="20.33203125" customWidth="1"/>
    <col min="5" max="5" width="3.5" customWidth="1"/>
    <col min="6" max="6" width="15.1640625" customWidth="1"/>
    <col min="7" max="7" width="13" customWidth="1"/>
    <col min="8" max="8" width="1.6640625" customWidth="1"/>
    <col min="9" max="9" width="14.5" customWidth="1"/>
    <col min="10" max="10" width="15" customWidth="1"/>
    <col min="11" max="11" width="29.5" customWidth="1"/>
    <col min="12" max="12" width="19.83203125" customWidth="1"/>
    <col min="13" max="13" width="22.1640625" customWidth="1"/>
  </cols>
  <sheetData>
    <row r="1" spans="1:11" ht="52" customHeight="1" thickBot="1" x14ac:dyDescent="0.2">
      <c r="A1" s="7"/>
      <c r="B1" s="329" t="str">
        <f>CONCATENATE("GESDISC Summary for ", Summary_data!X1)</f>
        <v>GESDISC Summary for FY 2025</v>
      </c>
      <c r="C1" s="329"/>
      <c r="D1" s="329"/>
      <c r="E1" s="329"/>
      <c r="F1" s="329"/>
      <c r="G1" s="329"/>
      <c r="H1" s="329"/>
      <c r="I1" s="329"/>
      <c r="J1" s="329"/>
      <c r="K1" s="329"/>
    </row>
    <row r="2" spans="1:11" ht="25" customHeight="1" thickBot="1" x14ac:dyDescent="0.2">
      <c r="B2" s="335" t="str">
        <f>Summary_data!Z2</f>
        <v>FY2025 Metrics (Oct 2024 to Sep 2025)</v>
      </c>
      <c r="C2" s="336"/>
      <c r="D2" s="337"/>
      <c r="F2" s="340" t="str">
        <f>CONCATENATE(data!$F$2, " Distribution and User Trends ", Summary_data!W1)</f>
        <v>GESDISC Distribution and User Trends (Oct 2024 to Sep 2025)</v>
      </c>
      <c r="G2" s="341"/>
      <c r="H2" s="341"/>
      <c r="I2" s="342"/>
      <c r="J2" s="342"/>
      <c r="K2" s="343"/>
    </row>
    <row r="3" spans="1:11" ht="18" customHeight="1" thickBot="1" x14ac:dyDescent="0.2">
      <c r="B3" s="37" t="s">
        <v>64</v>
      </c>
      <c r="C3" s="37" t="s">
        <v>63</v>
      </c>
      <c r="D3" s="37" t="str">
        <f>Summary_data!$C$8</f>
        <v>GESDISC</v>
      </c>
      <c r="F3" s="344" t="s">
        <v>64</v>
      </c>
      <c r="G3" s="38" t="s">
        <v>11</v>
      </c>
      <c r="H3" s="39"/>
      <c r="I3" s="40" t="s">
        <v>25</v>
      </c>
      <c r="J3" s="40" t="s">
        <v>32</v>
      </c>
      <c r="K3" s="41" t="s">
        <v>26</v>
      </c>
    </row>
    <row r="4" spans="1:11" ht="20" customHeight="1" thickBot="1" x14ac:dyDescent="0.2">
      <c r="B4" s="224" t="s">
        <v>137</v>
      </c>
      <c r="C4" s="53">
        <f>Summary_data!AA13</f>
        <v>18755</v>
      </c>
      <c r="D4" s="55">
        <f>Summary_data!$D$8</f>
        <v>4968</v>
      </c>
      <c r="F4" s="345"/>
      <c r="G4" s="42" t="str">
        <f>Summary_data!AE2</f>
        <v>FY2025</v>
      </c>
      <c r="H4" s="43"/>
      <c r="I4" s="44" t="str">
        <f>Summary_data!AF2</f>
        <v>FY2024</v>
      </c>
      <c r="J4" s="43" t="s">
        <v>27</v>
      </c>
      <c r="K4" s="45" t="s">
        <v>28</v>
      </c>
    </row>
    <row r="5" spans="1:11" ht="22" customHeight="1" thickBot="1" x14ac:dyDescent="0.2">
      <c r="B5" s="226" t="s">
        <v>150</v>
      </c>
      <c r="C5" s="53" t="str">
        <f>Summary_data!AA14</f>
        <v>10 M</v>
      </c>
      <c r="D5" s="56">
        <f>Summary_data!I$8</f>
        <v>1507031</v>
      </c>
      <c r="F5" s="348" t="s">
        <v>68</v>
      </c>
      <c r="G5" s="358">
        <f>data!$F$15</f>
        <v>777.52756899999986</v>
      </c>
      <c r="H5" s="338"/>
      <c r="I5" s="332">
        <f>(data!$F$15-data!$F$17)/data!$F$17</f>
        <v>0.16859850994228817</v>
      </c>
      <c r="J5" s="339">
        <f>data!$F$16</f>
        <v>64.793964083333321</v>
      </c>
      <c r="K5" s="333"/>
    </row>
    <row r="6" spans="1:11" ht="18" customHeight="1" thickBot="1" x14ac:dyDescent="0.2">
      <c r="B6" s="226" t="s">
        <v>151</v>
      </c>
      <c r="C6" s="53" t="str">
        <f>Summary_data!AA15</f>
        <v>14.9  M</v>
      </c>
      <c r="D6" s="56">
        <f>Summary_data!K$8</f>
        <v>457415</v>
      </c>
      <c r="F6" s="330"/>
      <c r="G6" s="359"/>
      <c r="H6" s="323"/>
      <c r="I6" s="325"/>
      <c r="J6" s="334"/>
      <c r="K6" s="317"/>
    </row>
    <row r="7" spans="1:11" ht="18" customHeight="1" thickBot="1" x14ac:dyDescent="0.2">
      <c r="B7" s="226" t="s">
        <v>0</v>
      </c>
      <c r="C7" s="58" t="str">
        <f>Summary_data!AA16</f>
        <v>160 TB/day</v>
      </c>
      <c r="D7" s="54" t="str">
        <f>CONCATENATE(FIXED(1024*Summary_data!$N$8,1), " GB/day")</f>
        <v>15,116.5 GB/day</v>
      </c>
      <c r="F7" s="319" t="s">
        <v>62</v>
      </c>
      <c r="G7" s="360">
        <f>data!$F$67</f>
        <v>17779.891098175529</v>
      </c>
      <c r="H7" s="323"/>
      <c r="I7" s="332">
        <f>(data!$F$67-data!$F$69)/data!$F$69</f>
        <v>0.34698403178171999</v>
      </c>
      <c r="J7" s="334">
        <f>data!$F$68</f>
        <v>1481.6575915146275</v>
      </c>
      <c r="K7" s="317"/>
    </row>
    <row r="8" spans="1:11" ht="18" customHeight="1" thickBot="1" x14ac:dyDescent="0.2">
      <c r="B8" s="226" t="s">
        <v>152</v>
      </c>
      <c r="C8" s="58" t="str">
        <f>Summary_data!AA17</f>
        <v>178.7 PB</v>
      </c>
      <c r="D8" s="57" t="str">
        <f>CONCATENATE(FIXED(Summary_data!$O$8,1), " TB")</f>
        <v>13,464.4 TB</v>
      </c>
      <c r="F8" s="330"/>
      <c r="G8" s="361"/>
      <c r="H8" s="323"/>
      <c r="I8" s="325"/>
      <c r="J8" s="334"/>
      <c r="K8" s="317"/>
    </row>
    <row r="9" spans="1:11" ht="18" customHeight="1" thickBot="1" x14ac:dyDescent="0.2">
      <c r="B9" s="226" t="s">
        <v>153</v>
      </c>
      <c r="C9" s="53" t="str">
        <f>Summary_data!AA18</f>
        <v>116.2 PB</v>
      </c>
      <c r="D9" s="57" t="str">
        <f>CONCATENATE(FIXED(Summary_data!$U$8,1), " TB")</f>
        <v>5,719.7 TB</v>
      </c>
      <c r="F9" s="319" t="s">
        <v>58</v>
      </c>
      <c r="G9" s="321">
        <f>data!$F$120</f>
        <v>1257054</v>
      </c>
      <c r="H9" s="323"/>
      <c r="I9" s="332">
        <f>(data!$F$120-data!$F$121)/data!$F$121</f>
        <v>-0.48224254720781323</v>
      </c>
      <c r="J9" s="327">
        <f>data!$F$119</f>
        <v>111475.33333333333</v>
      </c>
      <c r="K9" s="317"/>
    </row>
    <row r="10" spans="1:11" ht="21" customHeight="1" thickBot="1" x14ac:dyDescent="0.2">
      <c r="B10" s="226" t="s">
        <v>154</v>
      </c>
      <c r="C10" s="53" t="str">
        <f>Summary_data!AA19</f>
        <v>7,799.9 M</v>
      </c>
      <c r="D10" s="56" t="str">
        <f>CONCATENATE(FIXED(Summary_data!$R$8,1), " M")</f>
        <v>777.5 M</v>
      </c>
      <c r="F10" s="330"/>
      <c r="G10" s="357"/>
      <c r="H10" s="323"/>
      <c r="I10" s="325"/>
      <c r="J10" s="327"/>
      <c r="K10" s="317"/>
    </row>
    <row r="11" spans="1:11" ht="18" customHeight="1" thickBot="1" x14ac:dyDescent="0.2">
      <c r="B11" s="226" t="s">
        <v>155</v>
      </c>
      <c r="C11" s="53" t="str">
        <f>Summary_data!AA20</f>
        <v>4,316.1 M</v>
      </c>
      <c r="D11" s="56" t="str">
        <f>CONCATENATE(FIXED(Summary_data!$V$8,2), " M")</f>
        <v>284,197,543.00 M</v>
      </c>
      <c r="E11" s="5"/>
      <c r="F11" s="319" t="s">
        <v>125</v>
      </c>
      <c r="G11" s="321">
        <f>data!$F$227</f>
        <v>221525</v>
      </c>
      <c r="H11" s="323"/>
      <c r="I11" s="325">
        <f>(data!$F$227-data!$F$228)/data!$F$228</f>
        <v>1.0961879857431672E-2</v>
      </c>
      <c r="J11" s="327">
        <f>data!$F$226</f>
        <v>18460.416666666668</v>
      </c>
      <c r="K11" s="317"/>
    </row>
    <row r="12" spans="1:11" ht="18" customHeight="1" thickBot="1" x14ac:dyDescent="0.2">
      <c r="B12" s="226" t="s">
        <v>156</v>
      </c>
      <c r="C12" s="53" t="str">
        <f>Summary_data!AA21</f>
        <v>600 TB/day</v>
      </c>
      <c r="D12" s="56" t="str">
        <f>CONCATENATE(FIXED(1024*Summary_data!$T$8,1), " GB/day")</f>
        <v>49,881.1 GB/day</v>
      </c>
      <c r="F12" s="320"/>
      <c r="G12" s="356"/>
      <c r="H12" s="324"/>
      <c r="I12" s="362"/>
      <c r="J12" s="328"/>
      <c r="K12" s="318"/>
    </row>
    <row r="13" spans="1:11" ht="18" customHeight="1" x14ac:dyDescent="0.15"/>
    <row r="14" spans="1:11" ht="18" customHeight="1" x14ac:dyDescent="0.15"/>
    <row r="15" spans="1:11" ht="18" customHeight="1" x14ac:dyDescent="0.15"/>
    <row r="16" spans="1:11" ht="25" customHeight="1" x14ac:dyDescent="0.15"/>
    <row r="17" ht="25" customHeight="1" x14ac:dyDescent="0.15"/>
    <row r="18" ht="25" customHeight="1" x14ac:dyDescent="0.15"/>
    <row r="19" ht="25" customHeight="1" x14ac:dyDescent="0.15"/>
    <row r="20" ht="25" customHeight="1" x14ac:dyDescent="0.15"/>
    <row r="21" ht="25" customHeight="1" x14ac:dyDescent="0.15"/>
    <row r="22" ht="25" customHeight="1" x14ac:dyDescent="0.15"/>
    <row r="23" ht="25" customHeight="1" x14ac:dyDescent="0.15"/>
    <row r="24" ht="25" customHeight="1" x14ac:dyDescent="0.15"/>
    <row r="25" ht="25" customHeight="1" x14ac:dyDescent="0.15"/>
    <row r="26" ht="25" customHeight="1" x14ac:dyDescent="0.15"/>
    <row r="27" ht="25" customHeight="1" x14ac:dyDescent="0.15"/>
    <row r="28" ht="25" customHeight="1" x14ac:dyDescent="0.15"/>
    <row r="29" ht="25" customHeight="1" x14ac:dyDescent="0.15"/>
    <row r="30" ht="25" customHeight="1" x14ac:dyDescent="0.15"/>
    <row r="31" ht="25" customHeight="1" x14ac:dyDescent="0.15"/>
    <row r="32" ht="25" customHeight="1" x14ac:dyDescent="0.15"/>
    <row r="33" ht="25" customHeight="1" x14ac:dyDescent="0.15"/>
    <row r="34" ht="25" customHeight="1" x14ac:dyDescent="0.15"/>
    <row r="35" ht="30" customHeight="1" x14ac:dyDescent="0.15"/>
    <row r="36" ht="30" customHeight="1" x14ac:dyDescent="0.15"/>
    <row r="37" ht="30" customHeight="1" x14ac:dyDescent="0.15"/>
  </sheetData>
  <dataConsolidate/>
  <mergeCells count="28">
    <mergeCell ref="K5:K6"/>
    <mergeCell ref="F7:F8"/>
    <mergeCell ref="G7:G8"/>
    <mergeCell ref="H7:H8"/>
    <mergeCell ref="I7:I8"/>
    <mergeCell ref="J7:J8"/>
    <mergeCell ref="B1:K1"/>
    <mergeCell ref="F9:F10"/>
    <mergeCell ref="G9:G10"/>
    <mergeCell ref="H9:H10"/>
    <mergeCell ref="I9:I10"/>
    <mergeCell ref="J9:J10"/>
    <mergeCell ref="K9:K10"/>
    <mergeCell ref="K7:K8"/>
    <mergeCell ref="B2:D2"/>
    <mergeCell ref="F2:K2"/>
    <mergeCell ref="F3:F4"/>
    <mergeCell ref="F5:F6"/>
    <mergeCell ref="G5:G6"/>
    <mergeCell ref="H5:H6"/>
    <mergeCell ref="I5:I6"/>
    <mergeCell ref="J5:J6"/>
    <mergeCell ref="K11:K12"/>
    <mergeCell ref="F11:F12"/>
    <mergeCell ref="G11:G12"/>
    <mergeCell ref="H11:H12"/>
    <mergeCell ref="I11:I12"/>
    <mergeCell ref="J11:J12"/>
  </mergeCells>
  <conditionalFormatting sqref="I5">
    <cfRule type="iconSet" priority="59">
      <iconSet iconSet="5Arrows">
        <cfvo type="percent" val="0"/>
        <cfvo type="percent" val="20"/>
        <cfvo type="percent" val="40"/>
        <cfvo type="percent" val="60"/>
        <cfvo type="percent" val="80"/>
      </iconSet>
    </cfRule>
    <cfRule type="iconSet" priority="58">
      <iconSet iconSet="4Arrows">
        <cfvo type="percent" val="0"/>
        <cfvo type="percent" val="25"/>
        <cfvo type="percent" val="50"/>
        <cfvo type="percentile" val="75"/>
      </iconSet>
    </cfRule>
    <cfRule type="iconSet" priority="57">
      <iconSet>
        <cfvo type="percent" val="0"/>
        <cfvo type="percent" val="33"/>
        <cfvo type="percent" val="67"/>
      </iconSet>
    </cfRule>
    <cfRule type="iconSet" priority="56">
      <iconSet showValue="0">
        <cfvo type="percent" val="0"/>
        <cfvo type="num" val="0.9"/>
        <cfvo type="num" val="0.95"/>
      </iconSet>
    </cfRule>
    <cfRule type="iconSet" priority="55">
      <iconSet iconSet="5Arrows">
        <cfvo type="percent" val="0"/>
        <cfvo type="percent" val="20"/>
        <cfvo type="percent" val="40"/>
        <cfvo type="percent" val="60"/>
        <cfvo type="percent" val="80"/>
      </iconSet>
    </cfRule>
    <cfRule type="iconSet" priority="54">
      <iconSet iconSet="5Arrows">
        <cfvo type="percent" val="0"/>
        <cfvo type="num" val="-0.2"/>
        <cfvo type="num" val="-0.05"/>
        <cfvo type="num" val="0.05"/>
        <cfvo type="num" val="0.2"/>
      </iconSet>
    </cfRule>
    <cfRule type="iconSet" priority="53">
      <iconSet iconSet="3Arrows">
        <cfvo type="percent" val="0"/>
        <cfvo type="num" val="0"/>
        <cfvo type="num" val="0.01"/>
      </iconSet>
    </cfRule>
    <cfRule type="iconSet" priority="60">
      <iconSet iconSet="3Arrows">
        <cfvo type="percent" val="0"/>
        <cfvo type="percent" val="33"/>
        <cfvo type="percent" val="67"/>
      </iconSet>
    </cfRule>
  </conditionalFormatting>
  <conditionalFormatting sqref="I7">
    <cfRule type="iconSet" priority="17">
      <iconSet iconSet="3Arrows">
        <cfvo type="percent" val="0"/>
        <cfvo type="percent" val="33"/>
        <cfvo type="percent" val="67"/>
      </iconSet>
    </cfRule>
    <cfRule type="iconSet" priority="10">
      <iconSet iconSet="3Arrows">
        <cfvo type="percent" val="0"/>
        <cfvo type="num" val="0"/>
        <cfvo type="num" val="0.01"/>
      </iconSet>
    </cfRule>
    <cfRule type="iconSet" priority="11">
      <iconSet iconSet="5Arrows">
        <cfvo type="percent" val="0"/>
        <cfvo type="num" val="-0.2"/>
        <cfvo type="num" val="-0.05"/>
        <cfvo type="num" val="0.05"/>
        <cfvo type="num" val="0.2"/>
      </iconSet>
    </cfRule>
    <cfRule type="iconSet" priority="12">
      <iconSet iconSet="5Arrows">
        <cfvo type="percent" val="0"/>
        <cfvo type="percent" val="20"/>
        <cfvo type="percent" val="40"/>
        <cfvo type="percent" val="60"/>
        <cfvo type="percent" val="80"/>
      </iconSet>
    </cfRule>
    <cfRule type="iconSet" priority="13">
      <iconSet showValue="0">
        <cfvo type="percent" val="0"/>
        <cfvo type="num" val="0.9"/>
        <cfvo type="num" val="0.95"/>
      </iconSet>
    </cfRule>
    <cfRule type="iconSet" priority="14">
      <iconSet>
        <cfvo type="percent" val="0"/>
        <cfvo type="percent" val="33"/>
        <cfvo type="percent" val="67"/>
      </iconSet>
    </cfRule>
    <cfRule type="iconSet" priority="15">
      <iconSet iconSet="4Arrows">
        <cfvo type="percent" val="0"/>
        <cfvo type="percent" val="25"/>
        <cfvo type="percent" val="50"/>
        <cfvo type="percentile" val="75"/>
      </iconSet>
    </cfRule>
    <cfRule type="iconSet" priority="16">
      <iconSet iconSet="5Arrows">
        <cfvo type="percent" val="0"/>
        <cfvo type="percent" val="20"/>
        <cfvo type="percent" val="40"/>
        <cfvo type="percent" val="60"/>
        <cfvo type="percent" val="80"/>
      </iconSet>
    </cfRule>
  </conditionalFormatting>
  <conditionalFormatting sqref="I9">
    <cfRule type="iconSet" priority="18">
      <iconSet iconSet="3Arrows">
        <cfvo type="percent" val="0"/>
        <cfvo type="num" val="0"/>
        <cfvo type="num" val="0.01"/>
      </iconSet>
    </cfRule>
    <cfRule type="iconSet" priority="19">
      <iconSet iconSet="5Arrows">
        <cfvo type="percent" val="0"/>
        <cfvo type="num" val="-0.2"/>
        <cfvo type="num" val="-0.05"/>
        <cfvo type="num" val="0.05"/>
        <cfvo type="num" val="0.2"/>
      </iconSet>
    </cfRule>
    <cfRule type="iconSet" priority="20">
      <iconSet iconSet="5Arrows">
        <cfvo type="percent" val="0"/>
        <cfvo type="percent" val="20"/>
        <cfvo type="percent" val="40"/>
        <cfvo type="percent" val="60"/>
        <cfvo type="percent" val="80"/>
      </iconSet>
    </cfRule>
    <cfRule type="iconSet" priority="21">
      <iconSet showValue="0">
        <cfvo type="percent" val="0"/>
        <cfvo type="num" val="0.9"/>
        <cfvo type="num" val="0.95"/>
      </iconSet>
    </cfRule>
    <cfRule type="iconSet" priority="22">
      <iconSet>
        <cfvo type="percent" val="0"/>
        <cfvo type="percent" val="33"/>
        <cfvo type="percent" val="67"/>
      </iconSet>
    </cfRule>
    <cfRule type="iconSet" priority="23">
      <iconSet iconSet="4Arrows">
        <cfvo type="percent" val="0"/>
        <cfvo type="percent" val="25"/>
        <cfvo type="percent" val="50"/>
        <cfvo type="percentile" val="75"/>
      </iconSet>
    </cfRule>
    <cfRule type="iconSet" priority="24">
      <iconSet iconSet="5Arrows">
        <cfvo type="percent" val="0"/>
        <cfvo type="percent" val="20"/>
        <cfvo type="percent" val="40"/>
        <cfvo type="percent" val="60"/>
        <cfvo type="percent" val="80"/>
      </iconSet>
    </cfRule>
    <cfRule type="iconSet" priority="25">
      <iconSet iconSet="3Arrows">
        <cfvo type="percent" val="0"/>
        <cfvo type="percent" val="33"/>
        <cfvo type="percent" val="67"/>
      </iconSet>
    </cfRule>
  </conditionalFormatting>
  <conditionalFormatting sqref="I11">
    <cfRule type="iconSet" priority="8">
      <iconSet iconSet="3Arrows">
        <cfvo type="percent" val="0"/>
        <cfvo type="percent" val="33"/>
        <cfvo type="percent" val="67"/>
      </iconSet>
    </cfRule>
    <cfRule type="iconSet" priority="7">
      <iconSet iconSet="5Arrows">
        <cfvo type="percent" val="0"/>
        <cfvo type="percent" val="20"/>
        <cfvo type="percent" val="40"/>
        <cfvo type="percent" val="60"/>
        <cfvo type="percent" val="80"/>
      </iconSet>
    </cfRule>
    <cfRule type="iconSet" priority="6">
      <iconSet iconSet="4Arrows">
        <cfvo type="percent" val="0"/>
        <cfvo type="percent" val="25"/>
        <cfvo type="percent" val="50"/>
        <cfvo type="percentile" val="75"/>
      </iconSet>
    </cfRule>
    <cfRule type="iconSet" priority="5">
      <iconSet>
        <cfvo type="percent" val="0"/>
        <cfvo type="percent" val="33"/>
        <cfvo type="percent" val="67"/>
      </iconSet>
    </cfRule>
    <cfRule type="iconSet" priority="4">
      <iconSet showValue="0">
        <cfvo type="percent" val="0"/>
        <cfvo type="num" val="0.9"/>
        <cfvo type="num" val="0.95"/>
      </iconSet>
    </cfRule>
    <cfRule type="iconSet" priority="3">
      <iconSet iconSet="5Arrows">
        <cfvo type="percent" val="0"/>
        <cfvo type="percent" val="20"/>
        <cfvo type="percent" val="40"/>
        <cfvo type="percent" val="60"/>
        <cfvo type="percent" val="80"/>
      </iconSet>
    </cfRule>
    <cfRule type="iconSet" priority="2">
      <iconSet iconSet="5Arrows">
        <cfvo type="percent" val="0"/>
        <cfvo type="num" val="-0.2"/>
        <cfvo type="num" val="-0.05"/>
        <cfvo type="num" val="0.05"/>
        <cfvo type="num" val="0.2"/>
      </iconSet>
    </cfRule>
    <cfRule type="iconSet" priority="1">
      <iconSet iconSet="3Arrows">
        <cfvo type="percent" val="0"/>
        <cfvo type="num" val="0"/>
        <cfvo type="num" val="0.1"/>
      </iconSet>
    </cfRule>
  </conditionalFormatting>
  <conditionalFormatting sqref="K5 K7">
    <cfRule type="dataBar" priority="52">
      <dataBar>
        <cfvo type="min"/>
        <cfvo type="max"/>
        <color rgb="FF638EC6"/>
      </dataBar>
      <extLst>
        <ext xmlns:x14="http://schemas.microsoft.com/office/spreadsheetml/2009/9/main" uri="{B025F937-C7B1-47D3-B67F-A62EFF666E3E}">
          <x14:id>{E83BDF05-1A3B-E743-BA92-B88CD64CDC05}</x14:id>
        </ext>
      </extLst>
    </cfRule>
  </conditionalFormatting>
  <conditionalFormatting sqref="K9">
    <cfRule type="dataBar" priority="51">
      <dataBar>
        <cfvo type="min"/>
        <cfvo type="max"/>
        <color rgb="FF638EC6"/>
      </dataBar>
      <extLst>
        <ext xmlns:x14="http://schemas.microsoft.com/office/spreadsheetml/2009/9/main" uri="{B025F937-C7B1-47D3-B67F-A62EFF666E3E}">
          <x14:id>{76D24F7C-FD11-A54D-BD9A-FF25CD3D7287}</x14:id>
        </ext>
      </extLst>
    </cfRule>
  </conditionalFormatting>
  <conditionalFormatting sqref="K11">
    <cfRule type="dataBar" priority="9">
      <dataBar>
        <cfvo type="min"/>
        <cfvo type="max"/>
        <color rgb="FF638EC6"/>
      </dataBar>
      <extLst>
        <ext xmlns:x14="http://schemas.microsoft.com/office/spreadsheetml/2009/9/main" uri="{B025F937-C7B1-47D3-B67F-A62EFF666E3E}">
          <x14:id>{CE84720D-1FD8-FE4F-93B9-6299E3E873A3}</x14:id>
        </ext>
      </extLst>
    </cfRule>
  </conditionalFormatting>
  <pageMargins left="0.75" right="0.75" top="1" bottom="1" header="0.5" footer="0.5"/>
  <pageSetup scale="75" orientation="landscape" r:id="rId1"/>
  <headerFooter alignWithMargins="0"/>
  <drawing r:id="rId2"/>
  <extLst>
    <ext xmlns:x14="http://schemas.microsoft.com/office/spreadsheetml/2009/9/main" uri="{78C0D931-6437-407d-A8EE-F0AAD7539E65}">
      <x14:conditionalFormattings>
        <x14:conditionalFormatting xmlns:xm="http://schemas.microsoft.com/office/excel/2006/main">
          <x14:cfRule type="dataBar" id="{E83BDF05-1A3B-E743-BA92-B88CD64CDC05}">
            <x14:dataBar minLength="0" maxLength="100" negativeBarColorSameAsPositive="1" axisPosition="none">
              <x14:cfvo type="min"/>
              <x14:cfvo type="max"/>
            </x14:dataBar>
          </x14:cfRule>
          <xm:sqref>K5 K7</xm:sqref>
        </x14:conditionalFormatting>
        <x14:conditionalFormatting xmlns:xm="http://schemas.microsoft.com/office/excel/2006/main">
          <x14:cfRule type="dataBar" id="{76D24F7C-FD11-A54D-BD9A-FF25CD3D7287}">
            <x14:dataBar minLength="0" maxLength="100" negativeBarColorSameAsPositive="1" axisPosition="none">
              <x14:cfvo type="min"/>
              <x14:cfvo type="max"/>
            </x14:dataBar>
          </x14:cfRule>
          <xm:sqref>K9</xm:sqref>
        </x14:conditionalFormatting>
        <x14:conditionalFormatting xmlns:xm="http://schemas.microsoft.com/office/excel/2006/main">
          <x14:cfRule type="dataBar" id="{CE84720D-1FD8-FE4F-93B9-6299E3E873A3}">
            <x14:dataBar minLength="0" maxLength="100" negativeBarColorSameAsPositive="1" axisPosition="none">
              <x14:cfvo type="min"/>
              <x14:cfvo type="max"/>
            </x14:dataBar>
          </x14:cfRule>
          <xm:sqref>K11</xm:sqref>
        </x14:conditionalFormatting>
      </x14:conditionalFormattings>
    </ext>
    <ext xmlns:x14="http://schemas.microsoft.com/office/spreadsheetml/2009/9/main" uri="{05C60535-1F16-4fd2-B633-F4F36F0B64E0}">
      <x14:sparklineGroups xmlns:xm="http://schemas.microsoft.com/office/excel/2006/main">
        <x14:sparklineGroup manualMax="0" manualMin="0" displayEmptyCellsAs="gap" high="1" xr2:uid="{00000000-0003-0000-0600-000018000000}">
          <x14:colorSeries rgb="FF376092"/>
          <x14:colorNegative rgb="FFD00000"/>
          <x14:colorAxis rgb="FF000000"/>
          <x14:colorMarkers rgb="FFD00000"/>
          <x14:colorFirst rgb="FFD00000"/>
          <x14:colorLast rgb="FFD00000"/>
          <x14:colorHigh rgb="FFD00000"/>
          <x14:colorLow rgb="FFD00000"/>
          <x14:sparklines>
            <x14:sparkline>
              <xm:f>data!F213:F224</xm:f>
              <xm:sqref>K11</xm:sqref>
            </x14:sparkline>
          </x14:sparklines>
        </x14:sparklineGroup>
        <x14:sparklineGroup manualMax="0" manualMin="0" displayEmptyCellsAs="gap" high="1" xr2:uid="{00000000-0003-0000-0600-000014000000}">
          <x14:colorSeries rgb="FF376092"/>
          <x14:colorNegative rgb="FFD00000"/>
          <x14:colorAxis rgb="FF000000"/>
          <x14:colorMarkers rgb="FFD00000"/>
          <x14:colorFirst rgb="FFD00000"/>
          <x14:colorLast rgb="FFD00000"/>
          <x14:colorHigh rgb="FFD00000"/>
          <x14:colorLow rgb="FFD00000"/>
          <x14:sparklines>
            <x14:sparkline>
              <xm:f>data!F55:F66</xm:f>
              <xm:sqref>K7</xm:sqref>
            </x14:sparkline>
          </x14:sparklines>
        </x14:sparklineGroup>
        <x14:sparklineGroup manualMax="0" manualMin="0" displayEmptyCellsAs="gap" high="1" xr2:uid="{00000000-0003-0000-0600-000015000000}">
          <x14:colorSeries rgb="FF376092"/>
          <x14:colorNegative rgb="FFD00000"/>
          <x14:colorAxis rgb="FF000000"/>
          <x14:colorMarkers rgb="FFD00000"/>
          <x14:colorFirst rgb="FFD00000"/>
          <x14:colorLast rgb="FFD00000"/>
          <x14:colorHigh rgb="FFD00000"/>
          <x14:colorLow rgb="FFD00000"/>
          <x14:sparklines>
            <x14:sparkline>
              <xm:f>data!F3:F14</xm:f>
              <xm:sqref>K5</xm:sqref>
            </x14:sparkline>
          </x14:sparklines>
        </x14:sparklineGroup>
        <x14:sparklineGroup manualMax="0" manualMin="0" displayEmptyCellsAs="gap" high="1" xr2:uid="{00000000-0003-0000-0600-000016000000}">
          <x14:colorSeries rgb="FF376092"/>
          <x14:colorNegative rgb="FFD00000"/>
          <x14:colorAxis rgb="FF000000"/>
          <x14:colorMarkers rgb="FFD00000"/>
          <x14:colorFirst rgb="FFD00000"/>
          <x14:colorLast rgb="FFD00000"/>
          <x14:colorHigh rgb="FFD00000"/>
          <x14:colorLow rgb="FFD00000"/>
          <x14:sparklines>
            <x14:sparkline>
              <xm:f>data!F106:F117</xm:f>
              <xm:sqref>K9</xm:sqref>
            </x14:sparkline>
          </x14:sparklines>
        </x14:sparklineGroup>
      </x14:sparklineGroup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0"/>
  </sheetPr>
  <dimension ref="A1:K36"/>
  <sheetViews>
    <sheetView zoomScale="85" zoomScaleNormal="85" zoomScalePageLayoutView="90" workbookViewId="0">
      <selection activeCell="B1" sqref="B1:K33"/>
    </sheetView>
  </sheetViews>
  <sheetFormatPr baseColWidth="10" defaultColWidth="11.5" defaultRowHeight="13" x14ac:dyDescent="0.15"/>
  <cols>
    <col min="1" max="1" width="7.1640625" customWidth="1"/>
    <col min="2" max="2" width="64" customWidth="1"/>
    <col min="3" max="3" width="20.6640625" customWidth="1"/>
    <col min="4" max="4" width="18.6640625" customWidth="1"/>
    <col min="5" max="5" width="3.5" customWidth="1"/>
    <col min="6" max="6" width="15.1640625" customWidth="1"/>
    <col min="7" max="7" width="13" customWidth="1"/>
    <col min="8" max="8" width="1.6640625" customWidth="1"/>
    <col min="9" max="9" width="14.5" customWidth="1"/>
    <col min="10" max="10" width="15" customWidth="1"/>
    <col min="11" max="11" width="29.5" customWidth="1"/>
    <col min="12" max="12" width="19.83203125" customWidth="1"/>
    <col min="13" max="13" width="22.1640625" customWidth="1"/>
  </cols>
  <sheetData>
    <row r="1" spans="1:11" ht="52" customHeight="1" thickBot="1" x14ac:dyDescent="0.2">
      <c r="A1" s="7"/>
      <c r="B1" s="329" t="str">
        <f>CONCATENATE("GHRC Summary for ", Summary_data!X1)</f>
        <v>GHRC Summary for FY 2025</v>
      </c>
      <c r="C1" s="329"/>
      <c r="D1" s="329"/>
      <c r="E1" s="329"/>
      <c r="F1" s="329"/>
      <c r="G1" s="329"/>
      <c r="H1" s="329"/>
      <c r="I1" s="329"/>
      <c r="J1" s="329"/>
      <c r="K1" s="329"/>
    </row>
    <row r="2" spans="1:11" ht="25" customHeight="1" thickBot="1" x14ac:dyDescent="0.2">
      <c r="B2" s="335" t="str">
        <f>Summary_data!Z2</f>
        <v>FY2025 Metrics (Oct 2024 to Sep 2025)</v>
      </c>
      <c r="C2" s="336"/>
      <c r="D2" s="337"/>
      <c r="F2" s="340" t="str">
        <f>CONCATENATE(data!$G$2, " Distribution and User Trends ", Summary_data!W1)</f>
        <v>GHRC Distribution and User Trends (Oct 2024 to Sep 2025)</v>
      </c>
      <c r="G2" s="341"/>
      <c r="H2" s="341"/>
      <c r="I2" s="342"/>
      <c r="J2" s="342"/>
      <c r="K2" s="343"/>
    </row>
    <row r="3" spans="1:11" ht="18" customHeight="1" thickBot="1" x14ac:dyDescent="0.2">
      <c r="B3" s="37" t="s">
        <v>64</v>
      </c>
      <c r="C3" s="37" t="s">
        <v>63</v>
      </c>
      <c r="D3" s="37" t="str">
        <f>Summary_data!$C$9</f>
        <v>GHRC</v>
      </c>
      <c r="F3" s="344" t="s">
        <v>64</v>
      </c>
      <c r="G3" s="38" t="s">
        <v>11</v>
      </c>
      <c r="H3" s="39"/>
      <c r="I3" s="40" t="s">
        <v>25</v>
      </c>
      <c r="J3" s="40" t="s">
        <v>32</v>
      </c>
      <c r="K3" s="41" t="s">
        <v>26</v>
      </c>
    </row>
    <row r="4" spans="1:11" ht="18" customHeight="1" thickBot="1" x14ac:dyDescent="0.2">
      <c r="B4" s="224" t="s">
        <v>137</v>
      </c>
      <c r="C4" s="53">
        <f>Summary_data!AA13</f>
        <v>18755</v>
      </c>
      <c r="D4" s="55">
        <f>Summary_data!$D$9</f>
        <v>497</v>
      </c>
      <c r="F4" s="345"/>
      <c r="G4" s="42" t="str">
        <f>Summary_data!AE2</f>
        <v>FY2025</v>
      </c>
      <c r="H4" s="43"/>
      <c r="I4" s="44" t="str">
        <f>Summary_data!AF2</f>
        <v>FY2024</v>
      </c>
      <c r="J4" s="43" t="s">
        <v>27</v>
      </c>
      <c r="K4" s="45" t="s">
        <v>28</v>
      </c>
    </row>
    <row r="5" spans="1:11" ht="22" customHeight="1" thickBot="1" x14ac:dyDescent="0.2">
      <c r="B5" s="226" t="s">
        <v>150</v>
      </c>
      <c r="C5" s="53" t="str">
        <f>Summary_data!AA14</f>
        <v>10 M</v>
      </c>
      <c r="D5" s="56">
        <f>Summary_data!I$9</f>
        <v>51298</v>
      </c>
      <c r="F5" s="348" t="s">
        <v>68</v>
      </c>
      <c r="G5" s="358">
        <f>data!$G$15</f>
        <v>16.489101999999999</v>
      </c>
      <c r="H5" s="338"/>
      <c r="I5" s="332">
        <f>(data!$G$15-data!$G$17)/data!$G$17</f>
        <v>2.2850036298378247</v>
      </c>
      <c r="J5" s="339">
        <f>data!$G$16</f>
        <v>1.3740918333333332</v>
      </c>
      <c r="K5" s="333"/>
    </row>
    <row r="6" spans="1:11" ht="18" customHeight="1" thickBot="1" x14ac:dyDescent="0.2">
      <c r="B6" s="226" t="s">
        <v>151</v>
      </c>
      <c r="C6" s="53" t="str">
        <f>Summary_data!AA15</f>
        <v>14.9  M</v>
      </c>
      <c r="D6" s="56">
        <f>Summary_data!K$9</f>
        <v>59559</v>
      </c>
      <c r="F6" s="330"/>
      <c r="G6" s="359"/>
      <c r="H6" s="323"/>
      <c r="I6" s="325"/>
      <c r="J6" s="334"/>
      <c r="K6" s="317"/>
    </row>
    <row r="7" spans="1:11" ht="18" customHeight="1" thickBot="1" x14ac:dyDescent="0.2">
      <c r="B7" s="226" t="s">
        <v>0</v>
      </c>
      <c r="C7" s="58" t="str">
        <f>Summary_data!AA16</f>
        <v>160 TB/day</v>
      </c>
      <c r="D7" s="54" t="str">
        <f>CONCATENATE(FIXED(1024*Summary_data!$N$9,1), " GB/day")</f>
        <v>189.7 GB/day</v>
      </c>
      <c r="F7" s="319" t="s">
        <v>62</v>
      </c>
      <c r="G7" s="360">
        <f>data!$G$67</f>
        <v>48.377376769058102</v>
      </c>
      <c r="H7" s="323"/>
      <c r="I7" s="325">
        <f>(data!$G$67-data!$G$69)/data!$G$69</f>
        <v>0.61326186187025733</v>
      </c>
      <c r="J7" s="334">
        <f>data!$G$68</f>
        <v>4.0314480640881749</v>
      </c>
      <c r="K7" s="317"/>
    </row>
    <row r="8" spans="1:11" ht="18" customHeight="1" thickBot="1" x14ac:dyDescent="0.2">
      <c r="B8" s="226" t="s">
        <v>152</v>
      </c>
      <c r="C8" s="58" t="str">
        <f>Summary_data!AA17</f>
        <v>178.7 PB</v>
      </c>
      <c r="D8" s="57" t="str">
        <f>CONCATENATE(FIXED(Summary_data!$O$9,3), " TB")</f>
        <v>491.691 TB</v>
      </c>
      <c r="F8" s="330"/>
      <c r="G8" s="361"/>
      <c r="H8" s="323"/>
      <c r="I8" s="325"/>
      <c r="J8" s="334"/>
      <c r="K8" s="317"/>
    </row>
    <row r="9" spans="1:11" ht="18" customHeight="1" thickBot="1" x14ac:dyDescent="0.2">
      <c r="B9" s="226" t="s">
        <v>153</v>
      </c>
      <c r="C9" s="53" t="str">
        <f>Summary_data!AA18</f>
        <v>116.2 PB</v>
      </c>
      <c r="D9" s="57" t="str">
        <f>CONCATENATE(FIXED(Summary_data!U$9,3), " TB")</f>
        <v>445.841 TB</v>
      </c>
      <c r="F9" s="319" t="s">
        <v>58</v>
      </c>
      <c r="G9" s="321">
        <f>data!$G$120</f>
        <v>2119</v>
      </c>
      <c r="H9" s="323"/>
      <c r="I9" s="325">
        <f>(data!$G$120-data!$G$121)/data!$G$121</f>
        <v>-9.8681412165036161E-2</v>
      </c>
      <c r="J9" s="327">
        <f>data!$G$119</f>
        <v>253.66666666666666</v>
      </c>
      <c r="K9" s="317"/>
    </row>
    <row r="10" spans="1:11" ht="18" customHeight="1" thickBot="1" x14ac:dyDescent="0.2">
      <c r="B10" s="226" t="s">
        <v>154</v>
      </c>
      <c r="C10" s="53" t="str">
        <f>Summary_data!AA19</f>
        <v>7,799.9 M</v>
      </c>
      <c r="D10" s="56" t="str">
        <f>CONCATENATE(FIXED(Summary_data!$R$9,1), " M")</f>
        <v>16.5 M</v>
      </c>
      <c r="F10" s="330"/>
      <c r="G10" s="357"/>
      <c r="H10" s="323"/>
      <c r="I10" s="325"/>
      <c r="J10" s="327"/>
      <c r="K10" s="317"/>
    </row>
    <row r="11" spans="1:11" ht="18" customHeight="1" thickBot="1" x14ac:dyDescent="0.2">
      <c r="B11" s="226" t="s">
        <v>155</v>
      </c>
      <c r="C11" s="53" t="str">
        <f>Summary_data!AA20</f>
        <v>4,316.1 M</v>
      </c>
      <c r="D11" s="56" t="str">
        <f>CONCATENATE(FIXED(Summary_data!$V$9,1), " M")</f>
        <v>16,489,102.0 M</v>
      </c>
      <c r="E11" s="5"/>
      <c r="F11" s="319" t="s">
        <v>125</v>
      </c>
      <c r="G11" s="321">
        <f>data!$G$227</f>
        <v>50467</v>
      </c>
      <c r="H11" s="323"/>
      <c r="I11" s="325">
        <f>(data!$G$227-data!$G$228)/data!$G$228</f>
        <v>2.4300958336165297</v>
      </c>
      <c r="J11" s="327">
        <f>data!$G$226</f>
        <v>4205.583333333333</v>
      </c>
      <c r="K11" s="317"/>
    </row>
    <row r="12" spans="1:11" ht="18" customHeight="1" thickBot="1" x14ac:dyDescent="0.2">
      <c r="B12" s="226" t="s">
        <v>156</v>
      </c>
      <c r="C12" s="53" t="str">
        <f>Summary_data!AA21</f>
        <v>600 TB/day</v>
      </c>
      <c r="D12" s="56" t="str">
        <f>CONCATENATE(FIXED(1024*Summary_data!$T$9,1), " GB/day")</f>
        <v>135.7 GB/day</v>
      </c>
      <c r="F12" s="320"/>
      <c r="G12" s="356"/>
      <c r="H12" s="324"/>
      <c r="I12" s="362"/>
      <c r="J12" s="328"/>
      <c r="K12" s="318"/>
    </row>
    <row r="13" spans="1:11" ht="18" customHeight="1" x14ac:dyDescent="0.15"/>
    <row r="14" spans="1:11" ht="18" customHeight="1" x14ac:dyDescent="0.15"/>
    <row r="15" spans="1:11" ht="18" customHeight="1" x14ac:dyDescent="0.15"/>
    <row r="16" spans="1:11" ht="25" customHeight="1" x14ac:dyDescent="0.15"/>
    <row r="17" ht="25" customHeight="1" x14ac:dyDescent="0.15"/>
    <row r="18" ht="25" customHeight="1" x14ac:dyDescent="0.15"/>
    <row r="19" ht="25" customHeight="1" x14ac:dyDescent="0.15"/>
    <row r="20" ht="25" customHeight="1" x14ac:dyDescent="0.15"/>
    <row r="21" ht="25" customHeight="1" x14ac:dyDescent="0.15"/>
    <row r="22" ht="25" customHeight="1" x14ac:dyDescent="0.15"/>
    <row r="23" ht="25" customHeight="1" x14ac:dyDescent="0.15"/>
    <row r="24" ht="25" customHeight="1" x14ac:dyDescent="0.15"/>
    <row r="25" ht="25" customHeight="1" x14ac:dyDescent="0.15"/>
    <row r="26" ht="25" customHeight="1" x14ac:dyDescent="0.15"/>
    <row r="27" ht="25" customHeight="1" x14ac:dyDescent="0.15"/>
    <row r="28" ht="25" customHeight="1" x14ac:dyDescent="0.15"/>
    <row r="29" ht="25" customHeight="1" x14ac:dyDescent="0.15"/>
    <row r="30" ht="25" customHeight="1" x14ac:dyDescent="0.15"/>
    <row r="31" ht="25" customHeight="1" x14ac:dyDescent="0.15"/>
    <row r="32" ht="25" customHeight="1" x14ac:dyDescent="0.15"/>
    <row r="33" ht="25" customHeight="1" x14ac:dyDescent="0.15"/>
    <row r="34" ht="25" customHeight="1" x14ac:dyDescent="0.15"/>
    <row r="35" ht="30" customHeight="1" x14ac:dyDescent="0.15"/>
    <row r="36" ht="30" customHeight="1" x14ac:dyDescent="0.15"/>
  </sheetData>
  <dataConsolidate/>
  <mergeCells count="28">
    <mergeCell ref="K5:K6"/>
    <mergeCell ref="F7:F8"/>
    <mergeCell ref="G7:G8"/>
    <mergeCell ref="H7:H8"/>
    <mergeCell ref="I7:I8"/>
    <mergeCell ref="J7:J8"/>
    <mergeCell ref="B1:K1"/>
    <mergeCell ref="F9:F10"/>
    <mergeCell ref="G9:G10"/>
    <mergeCell ref="H9:H10"/>
    <mergeCell ref="I9:I10"/>
    <mergeCell ref="J9:J10"/>
    <mergeCell ref="K9:K10"/>
    <mergeCell ref="K7:K8"/>
    <mergeCell ref="B2:D2"/>
    <mergeCell ref="F2:K2"/>
    <mergeCell ref="F3:F4"/>
    <mergeCell ref="F5:F6"/>
    <mergeCell ref="G5:G6"/>
    <mergeCell ref="H5:H6"/>
    <mergeCell ref="I5:I6"/>
    <mergeCell ref="J5:J6"/>
    <mergeCell ref="K11:K12"/>
    <mergeCell ref="F11:F12"/>
    <mergeCell ref="G11:G12"/>
    <mergeCell ref="H11:H12"/>
    <mergeCell ref="I11:I12"/>
    <mergeCell ref="J11:J12"/>
  </mergeCells>
  <conditionalFormatting sqref="I5">
    <cfRule type="iconSet" priority="52">
      <iconSet iconSet="3Arrows">
        <cfvo type="percent" val="0"/>
        <cfvo type="percent" val="33"/>
        <cfvo type="percent" val="67"/>
      </iconSet>
    </cfRule>
    <cfRule type="iconSet" priority="51">
      <iconSet iconSet="5Arrows">
        <cfvo type="percent" val="0"/>
        <cfvo type="percent" val="20"/>
        <cfvo type="percent" val="40"/>
        <cfvo type="percent" val="60"/>
        <cfvo type="percent" val="80"/>
      </iconSet>
    </cfRule>
    <cfRule type="iconSet" priority="50">
      <iconSet iconSet="4Arrows">
        <cfvo type="percent" val="0"/>
        <cfvo type="percent" val="25"/>
        <cfvo type="percent" val="50"/>
        <cfvo type="percentile" val="75"/>
      </iconSet>
    </cfRule>
    <cfRule type="iconSet" priority="49">
      <iconSet>
        <cfvo type="percent" val="0"/>
        <cfvo type="percent" val="33"/>
        <cfvo type="percent" val="67"/>
      </iconSet>
    </cfRule>
    <cfRule type="iconSet" priority="48">
      <iconSet showValue="0">
        <cfvo type="percent" val="0"/>
        <cfvo type="num" val="0.9"/>
        <cfvo type="num" val="0.95"/>
      </iconSet>
    </cfRule>
    <cfRule type="iconSet" priority="47">
      <iconSet iconSet="5Arrows">
        <cfvo type="percent" val="0"/>
        <cfvo type="percent" val="20"/>
        <cfvo type="percent" val="40"/>
        <cfvo type="percent" val="60"/>
        <cfvo type="percent" val="80"/>
      </iconSet>
    </cfRule>
    <cfRule type="iconSet" priority="46">
      <iconSet iconSet="5Arrows">
        <cfvo type="percent" val="0"/>
        <cfvo type="num" val="-0.2"/>
        <cfvo type="num" val="-0.05"/>
        <cfvo type="num" val="0.05"/>
        <cfvo type="num" val="0.2"/>
      </iconSet>
    </cfRule>
    <cfRule type="iconSet" priority="45">
      <iconSet iconSet="3Arrows">
        <cfvo type="percent" val="0"/>
        <cfvo type="num" val="0"/>
        <cfvo type="num" val="1E-3"/>
      </iconSet>
    </cfRule>
  </conditionalFormatting>
  <conditionalFormatting sqref="I7">
    <cfRule type="iconSet" priority="34">
      <iconSet iconSet="3Arrows">
        <cfvo type="percent" val="0"/>
        <cfvo type="num" val="-0.01"/>
        <cfvo type="num" val="0.01"/>
      </iconSet>
    </cfRule>
    <cfRule type="iconSet" priority="35">
      <iconSet iconSet="5Arrows">
        <cfvo type="percent" val="0"/>
        <cfvo type="num" val="-0.2"/>
        <cfvo type="num" val="-0.05"/>
        <cfvo type="num" val="0.05"/>
        <cfvo type="num" val="0.2"/>
      </iconSet>
    </cfRule>
    <cfRule type="iconSet" priority="41">
      <iconSet iconSet="3Arrows">
        <cfvo type="percent" val="0"/>
        <cfvo type="percent" val="33"/>
        <cfvo type="percent" val="67"/>
      </iconSet>
    </cfRule>
    <cfRule type="iconSet" priority="40">
      <iconSet iconSet="5Arrows">
        <cfvo type="percent" val="0"/>
        <cfvo type="percent" val="20"/>
        <cfvo type="percent" val="40"/>
        <cfvo type="percent" val="60"/>
        <cfvo type="percent" val="80"/>
      </iconSet>
    </cfRule>
    <cfRule type="iconSet" priority="39">
      <iconSet iconSet="4Arrows">
        <cfvo type="percent" val="0"/>
        <cfvo type="percent" val="25"/>
        <cfvo type="percent" val="50"/>
        <cfvo type="percentile" val="75"/>
      </iconSet>
    </cfRule>
    <cfRule type="iconSet" priority="38">
      <iconSet>
        <cfvo type="percent" val="0"/>
        <cfvo type="percent" val="33"/>
        <cfvo type="percent" val="67"/>
      </iconSet>
    </cfRule>
    <cfRule type="iconSet" priority="37">
      <iconSet showValue="0">
        <cfvo type="percent" val="0"/>
        <cfvo type="num" val="0.9"/>
        <cfvo type="num" val="0.95"/>
      </iconSet>
    </cfRule>
    <cfRule type="iconSet" priority="36">
      <iconSet iconSet="5Arrows">
        <cfvo type="percent" val="0"/>
        <cfvo type="percent" val="20"/>
        <cfvo type="percent" val="40"/>
        <cfvo type="percent" val="60"/>
        <cfvo type="percent" val="80"/>
      </iconSet>
    </cfRule>
  </conditionalFormatting>
  <conditionalFormatting sqref="I9">
    <cfRule type="iconSet" priority="26">
      <iconSet iconSet="3Arrows">
        <cfvo type="percent" val="0"/>
        <cfvo type="num" val="0"/>
        <cfvo type="num" val="0.1"/>
      </iconSet>
    </cfRule>
    <cfRule type="iconSet" priority="33">
      <iconSet iconSet="3Arrows">
        <cfvo type="percent" val="0"/>
        <cfvo type="percent" val="33"/>
        <cfvo type="percent" val="67"/>
      </iconSet>
    </cfRule>
    <cfRule type="iconSet" priority="32">
      <iconSet iconSet="5Arrows">
        <cfvo type="percent" val="0"/>
        <cfvo type="percent" val="20"/>
        <cfvo type="percent" val="40"/>
        <cfvo type="percent" val="60"/>
        <cfvo type="percent" val="80"/>
      </iconSet>
    </cfRule>
    <cfRule type="iconSet" priority="31">
      <iconSet iconSet="4Arrows">
        <cfvo type="percent" val="0"/>
        <cfvo type="percent" val="25"/>
        <cfvo type="percent" val="50"/>
        <cfvo type="percentile" val="75"/>
      </iconSet>
    </cfRule>
    <cfRule type="iconSet" priority="30">
      <iconSet>
        <cfvo type="percent" val="0"/>
        <cfvo type="percent" val="33"/>
        <cfvo type="percent" val="67"/>
      </iconSet>
    </cfRule>
    <cfRule type="iconSet" priority="29">
      <iconSet showValue="0">
        <cfvo type="percent" val="0"/>
        <cfvo type="num" val="0.9"/>
        <cfvo type="num" val="0.95"/>
      </iconSet>
    </cfRule>
    <cfRule type="iconSet" priority="28">
      <iconSet iconSet="5Arrows">
        <cfvo type="percent" val="0"/>
        <cfvo type="percent" val="20"/>
        <cfvo type="percent" val="40"/>
        <cfvo type="percent" val="60"/>
        <cfvo type="percent" val="80"/>
      </iconSet>
    </cfRule>
    <cfRule type="iconSet" priority="27">
      <iconSet iconSet="5Arrows">
        <cfvo type="percent" val="0"/>
        <cfvo type="num" val="-0.2"/>
        <cfvo type="num" val="-0.05"/>
        <cfvo type="num" val="0.05"/>
        <cfvo type="num" val="0.2"/>
      </iconSet>
    </cfRule>
  </conditionalFormatting>
  <conditionalFormatting sqref="I11">
    <cfRule type="iconSet" priority="8">
      <iconSet iconSet="3Arrows">
        <cfvo type="percent" val="0"/>
        <cfvo type="percent" val="33"/>
        <cfvo type="percent" val="67"/>
      </iconSet>
    </cfRule>
    <cfRule type="iconSet" priority="7">
      <iconSet iconSet="5Arrows">
        <cfvo type="percent" val="0"/>
        <cfvo type="percent" val="20"/>
        <cfvo type="percent" val="40"/>
        <cfvo type="percent" val="60"/>
        <cfvo type="percent" val="80"/>
      </iconSet>
    </cfRule>
    <cfRule type="iconSet" priority="6">
      <iconSet iconSet="4Arrows">
        <cfvo type="percent" val="0"/>
        <cfvo type="percent" val="25"/>
        <cfvo type="percent" val="50"/>
        <cfvo type="percentile" val="75"/>
      </iconSet>
    </cfRule>
    <cfRule type="iconSet" priority="5">
      <iconSet>
        <cfvo type="percent" val="0"/>
        <cfvo type="percent" val="33"/>
        <cfvo type="percent" val="67"/>
      </iconSet>
    </cfRule>
    <cfRule type="iconSet" priority="4">
      <iconSet showValue="0">
        <cfvo type="percent" val="0"/>
        <cfvo type="num" val="0.9"/>
        <cfvo type="num" val="0.95"/>
      </iconSet>
    </cfRule>
    <cfRule type="iconSet" priority="3">
      <iconSet iconSet="5Arrows">
        <cfvo type="percent" val="0"/>
        <cfvo type="percent" val="20"/>
        <cfvo type="percent" val="40"/>
        <cfvo type="percent" val="60"/>
        <cfvo type="percent" val="80"/>
      </iconSet>
    </cfRule>
    <cfRule type="iconSet" priority="2">
      <iconSet iconSet="5Arrows">
        <cfvo type="percent" val="0"/>
        <cfvo type="num" val="-0.2"/>
        <cfvo type="num" val="-0.05"/>
        <cfvo type="num" val="0.05"/>
        <cfvo type="num" val="0.2"/>
      </iconSet>
    </cfRule>
    <cfRule type="iconSet" priority="1">
      <iconSet iconSet="3Arrows">
        <cfvo type="percent" val="0"/>
        <cfvo type="num" val="0"/>
        <cfvo type="num" val="0.1"/>
      </iconSet>
    </cfRule>
  </conditionalFormatting>
  <conditionalFormatting sqref="K5 K7">
    <cfRule type="dataBar" priority="44">
      <dataBar>
        <cfvo type="min"/>
        <cfvo type="max"/>
        <color rgb="FF638EC6"/>
      </dataBar>
      <extLst>
        <ext xmlns:x14="http://schemas.microsoft.com/office/spreadsheetml/2009/9/main" uri="{B025F937-C7B1-47D3-B67F-A62EFF666E3E}">
          <x14:id>{EE263F00-493D-6640-AE19-10637E4EDB9C}</x14:id>
        </ext>
      </extLst>
    </cfRule>
  </conditionalFormatting>
  <conditionalFormatting sqref="K9">
    <cfRule type="dataBar" priority="43">
      <dataBar>
        <cfvo type="min"/>
        <cfvo type="max"/>
        <color rgb="FF638EC6"/>
      </dataBar>
      <extLst>
        <ext xmlns:x14="http://schemas.microsoft.com/office/spreadsheetml/2009/9/main" uri="{B025F937-C7B1-47D3-B67F-A62EFF666E3E}">
          <x14:id>{B84921B4-26E2-A24A-AD35-9678D73D2224}</x14:id>
        </ext>
      </extLst>
    </cfRule>
  </conditionalFormatting>
  <conditionalFormatting sqref="K11">
    <cfRule type="dataBar" priority="17">
      <dataBar>
        <cfvo type="min"/>
        <cfvo type="max"/>
        <color rgb="FF638EC6"/>
      </dataBar>
      <extLst>
        <ext xmlns:x14="http://schemas.microsoft.com/office/spreadsheetml/2009/9/main" uri="{B025F937-C7B1-47D3-B67F-A62EFF666E3E}">
          <x14:id>{850F3097-89A4-7747-8638-3E958EB20059}</x14:id>
        </ext>
      </extLst>
    </cfRule>
  </conditionalFormatting>
  <pageMargins left="0.75" right="0.75" top="1" bottom="1" header="0.5" footer="0.5"/>
  <pageSetup scale="75" orientation="landscape" r:id="rId1"/>
  <headerFooter alignWithMargins="0"/>
  <drawing r:id="rId2"/>
  <extLst>
    <ext xmlns:x14="http://schemas.microsoft.com/office/spreadsheetml/2009/9/main" uri="{78C0D931-6437-407d-A8EE-F0AAD7539E65}">
      <x14:conditionalFormattings>
        <x14:conditionalFormatting xmlns:xm="http://schemas.microsoft.com/office/excel/2006/main">
          <x14:cfRule type="dataBar" id="{EE263F00-493D-6640-AE19-10637E4EDB9C}">
            <x14:dataBar minLength="0" maxLength="100" negativeBarColorSameAsPositive="1" axisPosition="none">
              <x14:cfvo type="min"/>
              <x14:cfvo type="max"/>
            </x14:dataBar>
          </x14:cfRule>
          <xm:sqref>K5 K7</xm:sqref>
        </x14:conditionalFormatting>
        <x14:conditionalFormatting xmlns:xm="http://schemas.microsoft.com/office/excel/2006/main">
          <x14:cfRule type="dataBar" id="{B84921B4-26E2-A24A-AD35-9678D73D2224}">
            <x14:dataBar minLength="0" maxLength="100" negativeBarColorSameAsPositive="1" axisPosition="none">
              <x14:cfvo type="min"/>
              <x14:cfvo type="max"/>
            </x14:dataBar>
          </x14:cfRule>
          <xm:sqref>K9</xm:sqref>
        </x14:conditionalFormatting>
        <x14:conditionalFormatting xmlns:xm="http://schemas.microsoft.com/office/excel/2006/main">
          <x14:cfRule type="dataBar" id="{850F3097-89A4-7747-8638-3E958EB20059}">
            <x14:dataBar minLength="0" maxLength="100" negativeBarColorSameAsPositive="1" axisPosition="none">
              <x14:cfvo type="min"/>
              <x14:cfvo type="max"/>
            </x14:dataBar>
          </x14:cfRule>
          <xm:sqref>K11</xm:sqref>
        </x14:conditionalFormatting>
      </x14:conditionalFormattings>
    </ext>
    <ext xmlns:x14="http://schemas.microsoft.com/office/spreadsheetml/2009/9/main" uri="{05C60535-1F16-4fd2-B633-F4F36F0B64E0}">
      <x14:sparklineGroups xmlns:xm="http://schemas.microsoft.com/office/excel/2006/main">
        <x14:sparklineGroup manualMax="0" manualMin="0" displayEmptyCellsAs="gap" high="1" xr2:uid="{00000000-0003-0000-0700-00001D000000}">
          <x14:colorSeries rgb="FF376092"/>
          <x14:colorNegative rgb="FFD00000"/>
          <x14:colorAxis rgb="FF000000"/>
          <x14:colorMarkers rgb="FFD00000"/>
          <x14:colorFirst rgb="FFD00000"/>
          <x14:colorLast rgb="FFD00000"/>
          <x14:colorHigh rgb="FFD00000"/>
          <x14:colorLow rgb="FFD00000"/>
          <x14:sparklines>
            <x14:sparkline>
              <xm:f>data!G213:G224</xm:f>
              <xm:sqref>K11</xm:sqref>
            </x14:sparkline>
          </x14:sparklines>
        </x14:sparklineGroup>
        <x14:sparklineGroup manualMax="0" manualMin="0" displayEmptyCellsAs="gap" high="1" xr2:uid="{00000000-0003-0000-0700-00001A000000}">
          <x14:colorSeries rgb="FF376092"/>
          <x14:colorNegative rgb="FFD00000"/>
          <x14:colorAxis rgb="FF000000"/>
          <x14:colorMarkers rgb="FFD00000"/>
          <x14:colorFirst rgb="FFD00000"/>
          <x14:colorLast rgb="FFD00000"/>
          <x14:colorHigh rgb="FFD00000"/>
          <x14:colorLow rgb="FFD00000"/>
          <x14:sparklines>
            <x14:sparkline>
              <xm:f>data!G106:G117</xm:f>
              <xm:sqref>K9</xm:sqref>
            </x14:sparkline>
          </x14:sparklines>
        </x14:sparklineGroup>
        <x14:sparklineGroup manualMax="0" manualMin="0" displayEmptyCellsAs="gap" high="1" xr2:uid="{00000000-0003-0000-0700-00001B000000}">
          <x14:colorSeries rgb="FF376092"/>
          <x14:colorNegative rgb="FFD00000"/>
          <x14:colorAxis rgb="FF000000"/>
          <x14:colorMarkers rgb="FFD00000"/>
          <x14:colorFirst rgb="FFD00000"/>
          <x14:colorLast rgb="FFD00000"/>
          <x14:colorHigh rgb="FFD00000"/>
          <x14:colorLow rgb="FFD00000"/>
          <x14:sparklines>
            <x14:sparkline>
              <xm:f>data!G3:G14</xm:f>
              <xm:sqref>K5</xm:sqref>
            </x14:sparkline>
          </x14:sparklines>
        </x14:sparklineGroup>
        <x14:sparklineGroup manualMax="0" manualMin="0" displayEmptyCellsAs="gap" high="1" xr2:uid="{00000000-0003-0000-0700-00001C000000}">
          <x14:colorSeries rgb="FF376092"/>
          <x14:colorNegative rgb="FFD00000"/>
          <x14:colorAxis rgb="FF000000"/>
          <x14:colorMarkers rgb="FFD00000"/>
          <x14:colorFirst rgb="FFD00000"/>
          <x14:colorLast rgb="FFD00000"/>
          <x14:colorHigh rgb="FFD00000"/>
          <x14:colorLow rgb="FFD00000"/>
          <x14:sparklines>
            <x14:sparkline>
              <xm:f>data!G55:G66</xm:f>
              <xm:sqref>K7</xm:sqref>
            </x14:sparkline>
          </x14:sparklines>
        </x14:sparklineGroup>
      </x14:sparklineGroup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0"/>
  </sheetPr>
  <dimension ref="A1:K37"/>
  <sheetViews>
    <sheetView zoomScale="80" zoomScaleNormal="80" zoomScalePageLayoutView="90" workbookViewId="0">
      <selection activeCell="I9" sqref="I9:I10"/>
    </sheetView>
  </sheetViews>
  <sheetFormatPr baseColWidth="10" defaultColWidth="11.5" defaultRowHeight="13" x14ac:dyDescent="0.15"/>
  <cols>
    <col min="1" max="1" width="7.1640625" customWidth="1"/>
    <col min="2" max="2" width="62.83203125" customWidth="1"/>
    <col min="3" max="3" width="20.6640625" customWidth="1"/>
    <col min="4" max="4" width="20" customWidth="1"/>
    <col min="5" max="5" width="3.5" customWidth="1"/>
    <col min="6" max="6" width="15.1640625" customWidth="1"/>
    <col min="7" max="7" width="13" customWidth="1"/>
    <col min="8" max="8" width="1.6640625" customWidth="1"/>
    <col min="9" max="9" width="14.5" customWidth="1"/>
    <col min="10" max="10" width="15" customWidth="1"/>
    <col min="11" max="11" width="29.5" customWidth="1"/>
    <col min="12" max="12" width="19.83203125" customWidth="1"/>
    <col min="13" max="13" width="22.1640625" customWidth="1"/>
  </cols>
  <sheetData>
    <row r="1" spans="1:11" ht="52" customHeight="1" thickBot="1" x14ac:dyDescent="0.2">
      <c r="A1" s="7"/>
      <c r="B1" s="329" t="str">
        <f>CONCATENATE("LAADS DAAC Summary for ", Summary_data!X1)</f>
        <v>LAADS DAAC Summary for FY 2025</v>
      </c>
      <c r="C1" s="329"/>
      <c r="D1" s="329"/>
      <c r="E1" s="329"/>
      <c r="F1" s="329"/>
      <c r="G1" s="329"/>
      <c r="H1" s="329"/>
      <c r="I1" s="329"/>
      <c r="J1" s="329"/>
      <c r="K1" s="329"/>
    </row>
    <row r="2" spans="1:11" ht="25" customHeight="1" thickBot="1" x14ac:dyDescent="0.2">
      <c r="B2" s="335" t="str">
        <f>Summary_data!Z2</f>
        <v>FY2025 Metrics (Oct 2024 to Sep 2025)</v>
      </c>
      <c r="C2" s="336"/>
      <c r="D2" s="337"/>
      <c r="F2" s="340" t="str">
        <f>CONCATENATE(data!$I$2, " Distribution and User Trends ", Summary_data!W1)</f>
        <v>LAADS DAAC Distribution and User Trends (Oct 2024 to Sep 2025)</v>
      </c>
      <c r="G2" s="341"/>
      <c r="H2" s="341"/>
      <c r="I2" s="342"/>
      <c r="J2" s="342"/>
      <c r="K2" s="343"/>
    </row>
    <row r="3" spans="1:11" ht="18" customHeight="1" thickBot="1" x14ac:dyDescent="0.2">
      <c r="B3" s="37" t="s">
        <v>64</v>
      </c>
      <c r="C3" s="37" t="s">
        <v>63</v>
      </c>
      <c r="D3" s="37" t="str">
        <f>Summary_data!$C$11</f>
        <v>LAADS DAAC</v>
      </c>
      <c r="F3" s="344" t="s">
        <v>64</v>
      </c>
      <c r="G3" s="38" t="s">
        <v>11</v>
      </c>
      <c r="H3" s="39"/>
      <c r="I3" s="40" t="s">
        <v>25</v>
      </c>
      <c r="J3" s="40" t="s">
        <v>32</v>
      </c>
      <c r="K3" s="41" t="s">
        <v>26</v>
      </c>
    </row>
    <row r="4" spans="1:11" ht="18" customHeight="1" thickBot="1" x14ac:dyDescent="0.2">
      <c r="B4" s="224" t="s">
        <v>137</v>
      </c>
      <c r="C4" s="53">
        <f>Summary_data!AA13</f>
        <v>18755</v>
      </c>
      <c r="D4" s="55">
        <f>Summary_data!$D$11</f>
        <v>1389</v>
      </c>
      <c r="F4" s="345"/>
      <c r="G4" s="42" t="str">
        <f>Summary_data!AE2</f>
        <v>FY2025</v>
      </c>
      <c r="H4" s="43"/>
      <c r="I4" s="44" t="str">
        <f>Summary_data!AF2</f>
        <v>FY2024</v>
      </c>
      <c r="J4" s="43" t="s">
        <v>27</v>
      </c>
      <c r="K4" s="45" t="s">
        <v>28</v>
      </c>
    </row>
    <row r="5" spans="1:11" ht="18" customHeight="1" thickBot="1" x14ac:dyDescent="0.2">
      <c r="B5" s="226" t="s">
        <v>150</v>
      </c>
      <c r="C5" s="53" t="str">
        <f>Summary_data!AA14</f>
        <v>10 M</v>
      </c>
      <c r="D5" s="56">
        <f>Summary_data!I$11</f>
        <v>843065</v>
      </c>
      <c r="F5" s="348" t="s">
        <v>68</v>
      </c>
      <c r="G5" s="358">
        <f>data!$I$15</f>
        <v>898.25093600000002</v>
      </c>
      <c r="H5" s="338"/>
      <c r="I5" s="332">
        <f>(data!$I$15-data!$I$17)/data!$I$17</f>
        <v>0.82849084018442642</v>
      </c>
      <c r="J5" s="339">
        <f>data!$I$16</f>
        <v>74.854244666666673</v>
      </c>
      <c r="K5" s="333"/>
    </row>
    <row r="6" spans="1:11" ht="18" customHeight="1" thickBot="1" x14ac:dyDescent="0.2">
      <c r="B6" s="226" t="s">
        <v>151</v>
      </c>
      <c r="C6" s="53" t="str">
        <f>Summary_data!AA15</f>
        <v>14.9  M</v>
      </c>
      <c r="D6" s="56">
        <f>Summary_data!K$11</f>
        <v>37499</v>
      </c>
      <c r="F6" s="330"/>
      <c r="G6" s="359"/>
      <c r="H6" s="323"/>
      <c r="I6" s="325"/>
      <c r="J6" s="334"/>
      <c r="K6" s="317"/>
    </row>
    <row r="7" spans="1:11" ht="18" customHeight="1" thickBot="1" x14ac:dyDescent="0.2">
      <c r="B7" s="226" t="s">
        <v>0</v>
      </c>
      <c r="C7" s="58" t="str">
        <f>Summary_data!AA16</f>
        <v>160 TB/day</v>
      </c>
      <c r="D7" s="54" t="str">
        <f>CONCATENATE(FIXED(1024*Summary_data!$N$11,1), " GB/day")</f>
        <v>20,919.0 GB/day</v>
      </c>
      <c r="F7" s="319" t="s">
        <v>62</v>
      </c>
      <c r="G7" s="360">
        <f>data!$I$67</f>
        <v>40832.780262161556</v>
      </c>
      <c r="H7" s="323"/>
      <c r="I7" s="332">
        <f>(data!$I$67-data!$I$69)/data!$I$69</f>
        <v>1.7380286231790572</v>
      </c>
      <c r="J7" s="334">
        <f>data!$I$68</f>
        <v>3402.7316885134628</v>
      </c>
      <c r="K7" s="317"/>
    </row>
    <row r="8" spans="1:11" ht="18" customHeight="1" thickBot="1" x14ac:dyDescent="0.2">
      <c r="B8" s="226" t="s">
        <v>152</v>
      </c>
      <c r="C8" s="58" t="str">
        <f>Summary_data!AA17</f>
        <v>178.7 PB</v>
      </c>
      <c r="D8" s="57" t="str">
        <f>CONCATENATE(FIXED(Summary_data!$O$11,1), " TB")</f>
        <v>34,413.7 TB</v>
      </c>
      <c r="F8" s="330"/>
      <c r="G8" s="361"/>
      <c r="H8" s="323"/>
      <c r="I8" s="325"/>
      <c r="J8" s="334"/>
      <c r="K8" s="317"/>
    </row>
    <row r="9" spans="1:11" ht="18" customHeight="1" thickBot="1" x14ac:dyDescent="0.2">
      <c r="B9" s="226" t="s">
        <v>153</v>
      </c>
      <c r="C9" s="53" t="str">
        <f>Summary_data!AA18</f>
        <v>116.2 PB</v>
      </c>
      <c r="D9" s="57" t="str">
        <f>CONCATENATE(FIXED(Summary_data!U$11,3), " TB")</f>
        <v>8,727.224 TB</v>
      </c>
      <c r="F9" s="319" t="s">
        <v>58</v>
      </c>
      <c r="G9" s="321">
        <f>data!$I$120</f>
        <v>810540</v>
      </c>
      <c r="H9" s="323"/>
      <c r="I9" s="332">
        <f>(data!$I$120-data!$I$121)/data!$I$121</f>
        <v>2.6031046071231709</v>
      </c>
      <c r="J9" s="327">
        <f>data!$I$119</f>
        <v>75002.166666666672</v>
      </c>
      <c r="K9" s="317"/>
    </row>
    <row r="10" spans="1:11" ht="18" customHeight="1" thickBot="1" x14ac:dyDescent="0.2">
      <c r="B10" s="226" t="s">
        <v>154</v>
      </c>
      <c r="C10" s="53" t="str">
        <f>Summary_data!AA19</f>
        <v>7,799.9 M</v>
      </c>
      <c r="D10" s="56" t="str">
        <f>CONCATENATE(FIXED(Summary_data!$R$11,1), " M")</f>
        <v>898.3 M</v>
      </c>
      <c r="F10" s="330"/>
      <c r="G10" s="357"/>
      <c r="H10" s="323"/>
      <c r="I10" s="325"/>
      <c r="J10" s="327"/>
      <c r="K10" s="317"/>
    </row>
    <row r="11" spans="1:11" ht="18" customHeight="1" thickBot="1" x14ac:dyDescent="0.2">
      <c r="B11" s="226" t="s">
        <v>155</v>
      </c>
      <c r="C11" s="53" t="str">
        <f>Summary_data!AA20</f>
        <v>4,316.1 M</v>
      </c>
      <c r="D11" s="56" t="str">
        <f>CONCATENATE(FIXED(Summary_data!$V$11,1), " M")</f>
        <v>74,916,694.0 M</v>
      </c>
      <c r="E11" s="5"/>
      <c r="F11" s="319" t="s">
        <v>125</v>
      </c>
      <c r="G11" s="321">
        <f>data!$I$227</f>
        <v>32045</v>
      </c>
      <c r="H11" s="323"/>
      <c r="I11" s="325">
        <f>(data!$I$227-data!$I$228)/data!$I$228</f>
        <v>-0.89172706232155829</v>
      </c>
      <c r="J11" s="327">
        <f>data!$I$226</f>
        <v>2670.4166666666665</v>
      </c>
      <c r="K11" s="317"/>
    </row>
    <row r="12" spans="1:11" ht="18" customHeight="1" thickBot="1" x14ac:dyDescent="0.2">
      <c r="B12" s="226" t="s">
        <v>156</v>
      </c>
      <c r="C12" s="53" t="str">
        <f>Summary_data!AA21</f>
        <v>600 TB/day</v>
      </c>
      <c r="D12" s="58" t="str">
        <f>CONCATENATE(FIXED(1024*Summary_data!$T$11,1), " GB/day")</f>
        <v>52,761.4 GB/day</v>
      </c>
      <c r="F12" s="320"/>
      <c r="G12" s="356"/>
      <c r="H12" s="324"/>
      <c r="I12" s="326"/>
      <c r="J12" s="328"/>
      <c r="K12" s="318"/>
    </row>
    <row r="13" spans="1:11" ht="18" customHeight="1" x14ac:dyDescent="0.15"/>
    <row r="14" spans="1:11" ht="18" customHeight="1" x14ac:dyDescent="0.15"/>
    <row r="15" spans="1:11" ht="18" customHeight="1" x14ac:dyDescent="0.15"/>
    <row r="16" spans="1:11" ht="25" customHeight="1" x14ac:dyDescent="0.15"/>
    <row r="17" ht="25" customHeight="1" x14ac:dyDescent="0.15"/>
    <row r="18" ht="25" customHeight="1" x14ac:dyDescent="0.15"/>
    <row r="19" ht="25" customHeight="1" x14ac:dyDescent="0.15"/>
    <row r="20" ht="25" customHeight="1" x14ac:dyDescent="0.15"/>
    <row r="21" ht="25" customHeight="1" x14ac:dyDescent="0.15"/>
    <row r="22" ht="25" customHeight="1" x14ac:dyDescent="0.15"/>
    <row r="23" ht="25" customHeight="1" x14ac:dyDescent="0.15"/>
    <row r="24" ht="25" customHeight="1" x14ac:dyDescent="0.15"/>
    <row r="25" ht="25" customHeight="1" x14ac:dyDescent="0.15"/>
    <row r="26" ht="25" customHeight="1" x14ac:dyDescent="0.15"/>
    <row r="27" ht="25" customHeight="1" x14ac:dyDescent="0.15"/>
    <row r="28" ht="25" customHeight="1" x14ac:dyDescent="0.15"/>
    <row r="29" ht="25" customHeight="1" x14ac:dyDescent="0.15"/>
    <row r="30" ht="25" customHeight="1" x14ac:dyDescent="0.15"/>
    <row r="31" ht="25" customHeight="1" x14ac:dyDescent="0.15"/>
    <row r="32" ht="25" customHeight="1" x14ac:dyDescent="0.15"/>
    <row r="33" ht="25" customHeight="1" x14ac:dyDescent="0.15"/>
    <row r="34" ht="25" customHeight="1" x14ac:dyDescent="0.15"/>
    <row r="35" ht="30" customHeight="1" x14ac:dyDescent="0.15"/>
    <row r="36" ht="30" customHeight="1" x14ac:dyDescent="0.15"/>
    <row r="37" ht="30" customHeight="1" x14ac:dyDescent="0.15"/>
  </sheetData>
  <dataConsolidate/>
  <mergeCells count="28">
    <mergeCell ref="K5:K6"/>
    <mergeCell ref="F7:F8"/>
    <mergeCell ref="G7:G8"/>
    <mergeCell ref="H7:H8"/>
    <mergeCell ref="I7:I8"/>
    <mergeCell ref="J7:J8"/>
    <mergeCell ref="B1:K1"/>
    <mergeCell ref="F9:F10"/>
    <mergeCell ref="G9:G10"/>
    <mergeCell ref="H9:H10"/>
    <mergeCell ref="I9:I10"/>
    <mergeCell ref="J9:J10"/>
    <mergeCell ref="K9:K10"/>
    <mergeCell ref="K7:K8"/>
    <mergeCell ref="B2:D2"/>
    <mergeCell ref="F2:K2"/>
    <mergeCell ref="F3:F4"/>
    <mergeCell ref="F5:F6"/>
    <mergeCell ref="G5:G6"/>
    <mergeCell ref="H5:H6"/>
    <mergeCell ref="I5:I6"/>
    <mergeCell ref="J5:J6"/>
    <mergeCell ref="K11:K12"/>
    <mergeCell ref="F11:F12"/>
    <mergeCell ref="G11:G12"/>
    <mergeCell ref="H11:H12"/>
    <mergeCell ref="I11:I12"/>
    <mergeCell ref="J11:J12"/>
  </mergeCells>
  <conditionalFormatting sqref="I5 I7 I9">
    <cfRule type="iconSet" priority="226">
      <iconSet iconSet="3Arrows">
        <cfvo type="percent" val="0"/>
        <cfvo type="num" val="0"/>
        <cfvo type="num" val="0.01"/>
      </iconSet>
    </cfRule>
    <cfRule type="iconSet" priority="227">
      <iconSet showValue="0">
        <cfvo type="percent" val="0"/>
        <cfvo type="num" val="0.9"/>
        <cfvo type="num" val="0.95"/>
      </iconSet>
    </cfRule>
    <cfRule type="iconSet" priority="232">
      <iconSet iconSet="5Arrows">
        <cfvo type="percent" val="0"/>
        <cfvo type="percent" val="20"/>
        <cfvo type="percent" val="40"/>
        <cfvo type="percent" val="60"/>
        <cfvo type="percent" val="80"/>
      </iconSet>
    </cfRule>
    <cfRule type="iconSet" priority="233">
      <iconSet>
        <cfvo type="percent" val="0"/>
        <cfvo type="percent" val="33"/>
        <cfvo type="percent" val="67"/>
      </iconSet>
    </cfRule>
    <cfRule type="iconSet" priority="234">
      <iconSet iconSet="4Arrows">
        <cfvo type="percent" val="0"/>
        <cfvo type="percent" val="25"/>
        <cfvo type="percent" val="50"/>
        <cfvo type="percentile" val="75"/>
      </iconSet>
    </cfRule>
    <cfRule type="iconSet" priority="235">
      <iconSet iconSet="5Arrows">
        <cfvo type="percent" val="0"/>
        <cfvo type="percent" val="20"/>
        <cfvo type="percent" val="40"/>
        <cfvo type="percent" val="60"/>
        <cfvo type="percent" val="80"/>
      </iconSet>
    </cfRule>
    <cfRule type="iconSet" priority="236">
      <iconSet iconSet="3Arrows">
        <cfvo type="percent" val="0"/>
        <cfvo type="percent" val="33"/>
        <cfvo type="percent" val="67"/>
      </iconSet>
    </cfRule>
    <cfRule type="iconSet" priority="247">
      <iconSet iconSet="5Arrows">
        <cfvo type="percent" val="0"/>
        <cfvo type="num" val="-0.2"/>
        <cfvo type="num" val="-0.05"/>
        <cfvo type="num" val="0.05"/>
        <cfvo type="num" val="0.2"/>
      </iconSet>
    </cfRule>
  </conditionalFormatting>
  <conditionalFormatting sqref="I11">
    <cfRule type="iconSet" priority="1">
      <iconSet iconSet="3Arrows">
        <cfvo type="percent" val="0"/>
        <cfvo type="num" val="0"/>
        <cfvo type="num" val="0.01"/>
      </iconSet>
    </cfRule>
    <cfRule type="iconSet" priority="2">
      <iconSet iconSet="5Arrows">
        <cfvo type="percent" val="0"/>
        <cfvo type="num" val="-0.2"/>
        <cfvo type="num" val="-0.05"/>
        <cfvo type="num" val="0.05"/>
        <cfvo type="num" val="0.2"/>
      </iconSet>
    </cfRule>
    <cfRule type="iconSet" priority="3">
      <iconSet iconSet="5Arrows">
        <cfvo type="percent" val="0"/>
        <cfvo type="percent" val="20"/>
        <cfvo type="percent" val="40"/>
        <cfvo type="percent" val="60"/>
        <cfvo type="percent" val="80"/>
      </iconSet>
    </cfRule>
    <cfRule type="iconSet" priority="4">
      <iconSet showValue="0">
        <cfvo type="percent" val="0"/>
        <cfvo type="num" val="0.9"/>
        <cfvo type="num" val="0.95"/>
      </iconSet>
    </cfRule>
    <cfRule type="iconSet" priority="5">
      <iconSet>
        <cfvo type="percent" val="0"/>
        <cfvo type="percent" val="33"/>
        <cfvo type="percent" val="67"/>
      </iconSet>
    </cfRule>
    <cfRule type="iconSet" priority="6">
      <iconSet iconSet="4Arrows">
        <cfvo type="percent" val="0"/>
        <cfvo type="percent" val="25"/>
        <cfvo type="percent" val="50"/>
        <cfvo type="percentile" val="75"/>
      </iconSet>
    </cfRule>
    <cfRule type="iconSet" priority="7">
      <iconSet iconSet="5Arrows">
        <cfvo type="percent" val="0"/>
        <cfvo type="percent" val="20"/>
        <cfvo type="percent" val="40"/>
        <cfvo type="percent" val="60"/>
        <cfvo type="percent" val="80"/>
      </iconSet>
    </cfRule>
    <cfRule type="iconSet" priority="8">
      <iconSet iconSet="3Arrows">
        <cfvo type="percent" val="0"/>
        <cfvo type="percent" val="33"/>
        <cfvo type="percent" val="67"/>
      </iconSet>
    </cfRule>
  </conditionalFormatting>
  <conditionalFormatting sqref="K5 K7">
    <cfRule type="dataBar" priority="44">
      <dataBar>
        <cfvo type="min"/>
        <cfvo type="max"/>
        <color rgb="FF638EC6"/>
      </dataBar>
      <extLst>
        <ext xmlns:x14="http://schemas.microsoft.com/office/spreadsheetml/2009/9/main" uri="{B025F937-C7B1-47D3-B67F-A62EFF666E3E}">
          <x14:id>{82D7EF43-8305-2542-8C61-4DDEA694CDA9}</x14:id>
        </ext>
      </extLst>
    </cfRule>
  </conditionalFormatting>
  <conditionalFormatting sqref="K9">
    <cfRule type="dataBar" priority="43">
      <dataBar>
        <cfvo type="min"/>
        <cfvo type="max"/>
        <color rgb="FF638EC6"/>
      </dataBar>
      <extLst>
        <ext xmlns:x14="http://schemas.microsoft.com/office/spreadsheetml/2009/9/main" uri="{B025F937-C7B1-47D3-B67F-A62EFF666E3E}">
          <x14:id>{01189959-6941-6C4F-A5D5-9EEC92D14BFD}</x14:id>
        </ext>
      </extLst>
    </cfRule>
  </conditionalFormatting>
  <conditionalFormatting sqref="K11">
    <cfRule type="dataBar" priority="9">
      <dataBar>
        <cfvo type="min"/>
        <cfvo type="max"/>
        <color rgb="FF638EC6"/>
      </dataBar>
      <extLst>
        <ext xmlns:x14="http://schemas.microsoft.com/office/spreadsheetml/2009/9/main" uri="{B025F937-C7B1-47D3-B67F-A62EFF666E3E}">
          <x14:id>{00873C36-B65A-7149-AB00-93293EAD496B}</x14:id>
        </ext>
      </extLst>
    </cfRule>
  </conditionalFormatting>
  <pageMargins left="0.75" right="0.75" top="1" bottom="1" header="0.5" footer="0.5"/>
  <pageSetup scale="75" orientation="landscape" r:id="rId1"/>
  <headerFooter alignWithMargins="0"/>
  <drawing r:id="rId2"/>
  <extLst>
    <ext xmlns:x14="http://schemas.microsoft.com/office/spreadsheetml/2009/9/main" uri="{78C0D931-6437-407d-A8EE-F0AAD7539E65}">
      <x14:conditionalFormattings>
        <x14:conditionalFormatting xmlns:xm="http://schemas.microsoft.com/office/excel/2006/main">
          <x14:cfRule type="dataBar" id="{82D7EF43-8305-2542-8C61-4DDEA694CDA9}">
            <x14:dataBar minLength="0" maxLength="100" negativeBarColorSameAsPositive="1" axisPosition="none">
              <x14:cfvo type="min"/>
              <x14:cfvo type="max"/>
            </x14:dataBar>
          </x14:cfRule>
          <xm:sqref>K5 K7</xm:sqref>
        </x14:conditionalFormatting>
        <x14:conditionalFormatting xmlns:xm="http://schemas.microsoft.com/office/excel/2006/main">
          <x14:cfRule type="dataBar" id="{01189959-6941-6C4F-A5D5-9EEC92D14BFD}">
            <x14:dataBar minLength="0" maxLength="100" negativeBarColorSameAsPositive="1" axisPosition="none">
              <x14:cfvo type="min"/>
              <x14:cfvo type="max"/>
            </x14:dataBar>
          </x14:cfRule>
          <xm:sqref>K9</xm:sqref>
        </x14:conditionalFormatting>
        <x14:conditionalFormatting xmlns:xm="http://schemas.microsoft.com/office/excel/2006/main">
          <x14:cfRule type="dataBar" id="{00873C36-B65A-7149-AB00-93293EAD496B}">
            <x14:dataBar minLength="0" maxLength="100" negativeBarColorSameAsPositive="1" axisPosition="none">
              <x14:cfvo type="min"/>
              <x14:cfvo type="max"/>
            </x14:dataBar>
          </x14:cfRule>
          <xm:sqref>K11</xm:sqref>
        </x14:conditionalFormatting>
      </x14:conditionalFormattings>
    </ext>
    <ext xmlns:x14="http://schemas.microsoft.com/office/spreadsheetml/2009/9/main" uri="{05C60535-1F16-4fd2-B633-F4F36F0B64E0}">
      <x14:sparklineGroups xmlns:xm="http://schemas.microsoft.com/office/excel/2006/main">
        <x14:sparklineGroup manualMax="0" manualMin="0" displayEmptyCellsAs="gap" high="1" xr2:uid="{00000000-0003-0000-0500-000013000000}">
          <x14:colorSeries rgb="FF376092"/>
          <x14:colorNegative rgb="FFD00000"/>
          <x14:colorAxis rgb="FF000000"/>
          <x14:colorMarkers rgb="FFD00000"/>
          <x14:colorFirst rgb="FFD00000"/>
          <x14:colorLast rgb="FFD00000"/>
          <x14:colorHigh rgb="FFD00000"/>
          <x14:colorLow rgb="FFD00000"/>
          <x14:sparklines>
            <x14:sparkline>
              <xm:f>data!I213:I224</xm:f>
              <xm:sqref>K11</xm:sqref>
            </x14:sparkline>
          </x14:sparklines>
        </x14:sparklineGroup>
        <x14:sparklineGroup manualMax="0" manualMin="0" displayEmptyCellsAs="gap" high="1" xr2:uid="{00000000-0003-0000-0500-000010000000}">
          <x14:colorSeries rgb="FF376092"/>
          <x14:colorNegative rgb="FFD00000"/>
          <x14:colorAxis rgb="FF000000"/>
          <x14:colorMarkers rgb="FFD00000"/>
          <x14:colorFirst rgb="FFD00000"/>
          <x14:colorLast rgb="FFD00000"/>
          <x14:colorHigh rgb="FFD00000"/>
          <x14:colorLow rgb="FFD00000"/>
          <x14:sparklines>
            <x14:sparkline>
              <xm:f>data!I106:I117</xm:f>
              <xm:sqref>K9</xm:sqref>
            </x14:sparkline>
          </x14:sparklines>
        </x14:sparklineGroup>
        <x14:sparklineGroup manualMax="0" manualMin="0" displayEmptyCellsAs="gap" high="1" xr2:uid="{00000000-0003-0000-0500-000011000000}">
          <x14:colorSeries rgb="FF376092"/>
          <x14:colorNegative rgb="FFD00000"/>
          <x14:colorAxis rgb="FF000000"/>
          <x14:colorMarkers rgb="FFD00000"/>
          <x14:colorFirst rgb="FFD00000"/>
          <x14:colorLast rgb="FFD00000"/>
          <x14:colorHigh rgb="FFD00000"/>
          <x14:colorLow rgb="FFD00000"/>
          <x14:sparklines>
            <x14:sparkline>
              <xm:f>data!I3:I14</xm:f>
              <xm:sqref>K5</xm:sqref>
            </x14:sparkline>
          </x14:sparklines>
        </x14:sparklineGroup>
        <x14:sparklineGroup manualMax="0" manualMin="0" displayEmptyCellsAs="gap" high="1" xr2:uid="{00000000-0003-0000-0500-000012000000}">
          <x14:colorSeries rgb="FF376092"/>
          <x14:colorNegative rgb="FFD00000"/>
          <x14:colorAxis rgb="FF000000"/>
          <x14:colorMarkers rgb="FFD00000"/>
          <x14:colorFirst rgb="FFD00000"/>
          <x14:colorLast rgb="FFD00000"/>
          <x14:colorHigh rgb="FFD00000"/>
          <x14:colorLow rgb="FFD00000"/>
          <x14:sparklines>
            <x14:sparkline>
              <xm:f>data!I55:I66</xm:f>
              <xm:sqref>K7</xm:sqref>
            </x14:sparkline>
          </x14:sparklines>
        </x14:sparklineGroup>
      </x14:sparklineGroup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0"/>
  </sheetPr>
  <dimension ref="A1:K39"/>
  <sheetViews>
    <sheetView zoomScale="81" zoomScaleNormal="81" zoomScalePageLayoutView="90" workbookViewId="0">
      <selection activeCell="I9" sqref="I9:I10"/>
    </sheetView>
  </sheetViews>
  <sheetFormatPr baseColWidth="10" defaultColWidth="11.5" defaultRowHeight="13" x14ac:dyDescent="0.15"/>
  <cols>
    <col min="1" max="1" width="7.1640625" customWidth="1"/>
    <col min="2" max="2" width="63.5" customWidth="1"/>
    <col min="3" max="3" width="20.6640625" customWidth="1"/>
    <col min="4" max="4" width="22.1640625" customWidth="1"/>
    <col min="5" max="5" width="3.5" customWidth="1"/>
    <col min="6" max="6" width="15.1640625" customWidth="1"/>
    <col min="7" max="7" width="13" customWidth="1"/>
    <col min="8" max="8" width="1.6640625" customWidth="1"/>
    <col min="9" max="9" width="14.5" customWidth="1"/>
    <col min="10" max="10" width="15" customWidth="1"/>
    <col min="11" max="11" width="29.5" customWidth="1"/>
    <col min="12" max="12" width="19.83203125" customWidth="1"/>
    <col min="13" max="13" width="22.1640625" customWidth="1"/>
  </cols>
  <sheetData>
    <row r="1" spans="1:11" ht="52" customHeight="1" thickBot="1" x14ac:dyDescent="0.2">
      <c r="A1" s="7"/>
      <c r="B1" s="329" t="str">
        <f>CONCATENATE("LPDAAC Summary for ", Summary_data!X1)</f>
        <v>LPDAAC Summary for FY 2025</v>
      </c>
      <c r="C1" s="329"/>
      <c r="D1" s="329"/>
      <c r="E1" s="329"/>
      <c r="F1" s="329"/>
      <c r="G1" s="329"/>
      <c r="H1" s="329"/>
      <c r="I1" s="329"/>
      <c r="J1" s="329"/>
      <c r="K1" s="329"/>
    </row>
    <row r="2" spans="1:11" ht="25" customHeight="1" thickBot="1" x14ac:dyDescent="0.2">
      <c r="B2" s="335" t="str">
        <f>Summary_data!Z2</f>
        <v>FY2025 Metrics (Oct 2024 to Sep 2025)</v>
      </c>
      <c r="C2" s="336"/>
      <c r="D2" s="337"/>
      <c r="F2" s="340" t="str">
        <f>CONCATENATE(data!$H$2, " Distribution and User Trends ", Summary_data!W1)</f>
        <v>LP DAAC Distribution and User Trends (Oct 2024 to Sep 2025)</v>
      </c>
      <c r="G2" s="341"/>
      <c r="H2" s="341"/>
      <c r="I2" s="342"/>
      <c r="J2" s="342"/>
      <c r="K2" s="343"/>
    </row>
    <row r="3" spans="1:11" ht="18" customHeight="1" thickBot="1" x14ac:dyDescent="0.2">
      <c r="B3" s="37" t="s">
        <v>64</v>
      </c>
      <c r="C3" s="37" t="s">
        <v>63</v>
      </c>
      <c r="D3" s="37" t="str">
        <f>Summary_data!$C$10</f>
        <v>LP DAAC</v>
      </c>
      <c r="F3" s="344" t="s">
        <v>64</v>
      </c>
      <c r="G3" s="38" t="s">
        <v>11</v>
      </c>
      <c r="H3" s="39"/>
      <c r="I3" s="40" t="s">
        <v>25</v>
      </c>
      <c r="J3" s="40" t="s">
        <v>32</v>
      </c>
      <c r="K3" s="41" t="s">
        <v>26</v>
      </c>
    </row>
    <row r="4" spans="1:11" ht="18" customHeight="1" thickBot="1" x14ac:dyDescent="0.2">
      <c r="B4" s="224" t="s">
        <v>137</v>
      </c>
      <c r="C4" s="53">
        <f>Summary_data!AA13</f>
        <v>18755</v>
      </c>
      <c r="D4" s="55">
        <f>Summary_data!$D$10</f>
        <v>1067</v>
      </c>
      <c r="F4" s="345"/>
      <c r="G4" s="42" t="str">
        <f>Summary_data!AE2</f>
        <v>FY2025</v>
      </c>
      <c r="H4" s="43"/>
      <c r="I4" s="44" t="str">
        <f>Summary_data!AF2</f>
        <v>FY2024</v>
      </c>
      <c r="J4" s="43" t="s">
        <v>27</v>
      </c>
      <c r="K4" s="45" t="s">
        <v>28</v>
      </c>
    </row>
    <row r="5" spans="1:11" ht="23" customHeight="1" thickBot="1" x14ac:dyDescent="0.2">
      <c r="B5" s="226" t="s">
        <v>150</v>
      </c>
      <c r="C5" s="53" t="str">
        <f>Summary_data!AA14</f>
        <v>10 M</v>
      </c>
      <c r="D5" s="56">
        <f>Summary_data!I$10</f>
        <v>562744</v>
      </c>
      <c r="F5" s="348" t="s">
        <v>68</v>
      </c>
      <c r="G5" s="358">
        <f>data!$H$15</f>
        <v>3523.2388449999999</v>
      </c>
      <c r="H5" s="338"/>
      <c r="I5" s="332">
        <f>(data!$H$15-data!$H$17)/data!$H$17</f>
        <v>1.1223303937977918</v>
      </c>
      <c r="J5" s="339">
        <f>data!$H$16</f>
        <v>293.60323708333334</v>
      </c>
      <c r="K5" s="333"/>
    </row>
    <row r="6" spans="1:11" ht="18" customHeight="1" thickBot="1" x14ac:dyDescent="0.2">
      <c r="B6" s="226" t="s">
        <v>151</v>
      </c>
      <c r="C6" s="53" t="str">
        <f>Summary_data!AA15</f>
        <v>14.9  M</v>
      </c>
      <c r="D6" s="56">
        <f>Summary_data!K$10</f>
        <v>582452</v>
      </c>
      <c r="F6" s="330"/>
      <c r="G6" s="359"/>
      <c r="H6" s="323"/>
      <c r="I6" s="325"/>
      <c r="J6" s="334"/>
      <c r="K6" s="317"/>
    </row>
    <row r="7" spans="1:11" ht="18" customHeight="1" thickBot="1" x14ac:dyDescent="0.2">
      <c r="B7" s="226" t="s">
        <v>0</v>
      </c>
      <c r="C7" s="58" t="str">
        <f>Summary_data!AA16</f>
        <v>160 TB/day</v>
      </c>
      <c r="D7" s="54" t="str">
        <f>CONCATENATE(FIXED(1024*Summary_data!$N$10,1), " GB/day")</f>
        <v>24,636.4 GB/day</v>
      </c>
      <c r="F7" s="319" t="s">
        <v>62</v>
      </c>
      <c r="G7" s="360">
        <f>data!$H$67</f>
        <v>18806.544330172528</v>
      </c>
      <c r="H7" s="323"/>
      <c r="I7" s="332">
        <f>(data!$H$67-data!$H$69)/data!$H$69</f>
        <v>-0.29552807836666695</v>
      </c>
      <c r="J7" s="334">
        <f>data!$H$68</f>
        <v>1567.2120275143773</v>
      </c>
      <c r="K7" s="317"/>
    </row>
    <row r="8" spans="1:11" ht="18" customHeight="1" thickBot="1" x14ac:dyDescent="0.2">
      <c r="B8" s="226" t="s">
        <v>152</v>
      </c>
      <c r="C8" s="58" t="str">
        <f>Summary_data!AA17</f>
        <v>178.7 PB</v>
      </c>
      <c r="D8" s="57" t="str">
        <f>CONCATENATE(FIXED(Summary_data!$O$10,1), " TB")</f>
        <v>24,844.8 TB</v>
      </c>
      <c r="F8" s="330"/>
      <c r="G8" s="361"/>
      <c r="H8" s="323"/>
      <c r="I8" s="325"/>
      <c r="J8" s="334"/>
      <c r="K8" s="317"/>
    </row>
    <row r="9" spans="1:11" ht="18" customHeight="1" thickBot="1" x14ac:dyDescent="0.2">
      <c r="B9" s="226" t="s">
        <v>153</v>
      </c>
      <c r="C9" s="53" t="str">
        <f>Summary_data!AA18</f>
        <v>116.2 PB</v>
      </c>
      <c r="D9" s="57" t="str">
        <f>CONCATENATE(FIXED(Summary_data!$U$10,1), " TB")</f>
        <v>19,162.2 TB</v>
      </c>
      <c r="F9" s="319" t="s">
        <v>58</v>
      </c>
      <c r="G9" s="321">
        <f>data!$H$120</f>
        <v>227581</v>
      </c>
      <c r="H9" s="323"/>
      <c r="I9" s="332">
        <f>(data!$H$120-data!$H$121)/data!$H$121</f>
        <v>4.2384909308535121</v>
      </c>
      <c r="J9" s="327">
        <f>data!$H$119</f>
        <v>26516.166666666668</v>
      </c>
      <c r="K9" s="317"/>
    </row>
    <row r="10" spans="1:11" ht="18" customHeight="1" thickBot="1" x14ac:dyDescent="0.2">
      <c r="B10" s="226" t="s">
        <v>154</v>
      </c>
      <c r="C10" s="53" t="str">
        <f>Summary_data!AA19</f>
        <v>7,799.9 M</v>
      </c>
      <c r="D10" s="56" t="str">
        <f>CONCATENATE(FIXED(Summary_data!$R$10,1), " M")</f>
        <v>3,523.2 M</v>
      </c>
      <c r="F10" s="330"/>
      <c r="G10" s="357"/>
      <c r="H10" s="323"/>
      <c r="I10" s="325"/>
      <c r="J10" s="327"/>
      <c r="K10" s="317"/>
    </row>
    <row r="11" spans="1:11" ht="18" customHeight="1" thickBot="1" x14ac:dyDescent="0.2">
      <c r="B11" s="226" t="s">
        <v>155</v>
      </c>
      <c r="C11" s="53" t="str">
        <f>Summary_data!AA20</f>
        <v>4,316.1 M</v>
      </c>
      <c r="D11" s="56" t="str">
        <f>CONCATENATE(FIXED(Summary_data!$V$10,1), " M")</f>
        <v>3,393,671,637.0 M</v>
      </c>
      <c r="E11" s="5"/>
      <c r="F11" s="319" t="s">
        <v>125</v>
      </c>
      <c r="G11" s="321">
        <f>data!$H$227</f>
        <v>361841</v>
      </c>
      <c r="H11" s="323"/>
      <c r="I11" s="325">
        <f>(data!$H$227-data!$H$228)/data!$H$228</f>
        <v>1.4942338579040608</v>
      </c>
      <c r="J11" s="327">
        <f>data!$H$226</f>
        <v>30153.416666666668</v>
      </c>
      <c r="K11" s="317"/>
    </row>
    <row r="12" spans="1:11" ht="18" customHeight="1" thickBot="1" x14ac:dyDescent="0.2">
      <c r="B12" s="226" t="s">
        <v>156</v>
      </c>
      <c r="C12" s="53" t="str">
        <f>Summary_data!AA21</f>
        <v>600 TB/day</v>
      </c>
      <c r="D12" s="56" t="str">
        <f>CONCATENATE(FIXED(1024*Summary_data!$T$10,1), " GB/day")</f>
        <v>114,555.5 GB/day</v>
      </c>
      <c r="F12" s="320"/>
      <c r="G12" s="356"/>
      <c r="H12" s="324"/>
      <c r="I12" s="326"/>
      <c r="J12" s="328"/>
      <c r="K12" s="318"/>
    </row>
    <row r="13" spans="1:11" ht="18" customHeight="1" x14ac:dyDescent="0.15"/>
    <row r="14" spans="1:11" ht="18" customHeight="1" x14ac:dyDescent="0.15"/>
    <row r="15" spans="1:11" ht="18" customHeight="1" x14ac:dyDescent="0.15"/>
    <row r="16" spans="1:11" ht="25" customHeight="1" x14ac:dyDescent="0.15"/>
    <row r="17" ht="25" customHeight="1" x14ac:dyDescent="0.15"/>
    <row r="18" ht="25" customHeight="1" x14ac:dyDescent="0.15"/>
    <row r="19" ht="25" customHeight="1" x14ac:dyDescent="0.15"/>
    <row r="20" ht="25" customHeight="1" x14ac:dyDescent="0.15"/>
    <row r="21" ht="25" customHeight="1" x14ac:dyDescent="0.15"/>
    <row r="22" ht="25" customHeight="1" x14ac:dyDescent="0.15"/>
    <row r="23" ht="25" customHeight="1" x14ac:dyDescent="0.15"/>
    <row r="24" ht="25" customHeight="1" x14ac:dyDescent="0.15"/>
    <row r="25" ht="25" customHeight="1" x14ac:dyDescent="0.15"/>
    <row r="26" ht="25" customHeight="1" x14ac:dyDescent="0.15"/>
    <row r="27" ht="25" customHeight="1" x14ac:dyDescent="0.15"/>
    <row r="28" ht="25" customHeight="1" x14ac:dyDescent="0.15"/>
    <row r="29" ht="25" customHeight="1" x14ac:dyDescent="0.15"/>
    <row r="30" ht="25" customHeight="1" x14ac:dyDescent="0.15"/>
    <row r="31" ht="25" customHeight="1" x14ac:dyDescent="0.15"/>
    <row r="32" ht="25" customHeight="1" x14ac:dyDescent="0.15"/>
    <row r="33" ht="25" customHeight="1" x14ac:dyDescent="0.15"/>
    <row r="34" ht="25" customHeight="1" x14ac:dyDescent="0.15"/>
    <row r="35" ht="30" customHeight="1" x14ac:dyDescent="0.15"/>
    <row r="36" ht="30" customHeight="1" x14ac:dyDescent="0.15"/>
    <row r="37" ht="30" customHeight="1" x14ac:dyDescent="0.15"/>
    <row r="38" ht="30" customHeight="1" x14ac:dyDescent="0.15"/>
    <row r="39" ht="30" customHeight="1" x14ac:dyDescent="0.15"/>
  </sheetData>
  <dataConsolidate/>
  <mergeCells count="28">
    <mergeCell ref="K5:K6"/>
    <mergeCell ref="F7:F8"/>
    <mergeCell ref="G7:G8"/>
    <mergeCell ref="H7:H8"/>
    <mergeCell ref="I7:I8"/>
    <mergeCell ref="J7:J8"/>
    <mergeCell ref="B1:K1"/>
    <mergeCell ref="F9:F10"/>
    <mergeCell ref="G9:G10"/>
    <mergeCell ref="H9:H10"/>
    <mergeCell ref="I9:I10"/>
    <mergeCell ref="J9:J10"/>
    <mergeCell ref="K9:K10"/>
    <mergeCell ref="K7:K8"/>
    <mergeCell ref="B2:D2"/>
    <mergeCell ref="F2:K2"/>
    <mergeCell ref="F3:F4"/>
    <mergeCell ref="F5:F6"/>
    <mergeCell ref="G5:G6"/>
    <mergeCell ref="H5:H6"/>
    <mergeCell ref="I5:I6"/>
    <mergeCell ref="J5:J6"/>
    <mergeCell ref="K11:K12"/>
    <mergeCell ref="F11:F12"/>
    <mergeCell ref="G11:G12"/>
    <mergeCell ref="H11:H12"/>
    <mergeCell ref="I11:I12"/>
    <mergeCell ref="J11:J12"/>
  </mergeCells>
  <conditionalFormatting sqref="I5 I7">
    <cfRule type="iconSet" priority="17">
      <iconSet iconSet="3Arrows">
        <cfvo type="percent" val="0"/>
        <cfvo type="percent" val="33"/>
        <cfvo type="percent" val="67"/>
      </iconSet>
    </cfRule>
    <cfRule type="iconSet" priority="10">
      <iconSet iconSet="3Arrows">
        <cfvo type="percent" val="0"/>
        <cfvo type="num" val="0"/>
        <cfvo type="num" val="0.01"/>
      </iconSet>
    </cfRule>
    <cfRule type="iconSet" priority="11">
      <iconSet iconSet="5Arrows">
        <cfvo type="percent" val="0"/>
        <cfvo type="num" val="-0.2"/>
        <cfvo type="num" val="-0.05"/>
        <cfvo type="num" val="0.05"/>
        <cfvo type="num" val="0.2"/>
      </iconSet>
    </cfRule>
    <cfRule type="iconSet" priority="12">
      <iconSet iconSet="5Arrows">
        <cfvo type="percent" val="0"/>
        <cfvo type="percent" val="20"/>
        <cfvo type="percent" val="40"/>
        <cfvo type="percent" val="60"/>
        <cfvo type="percent" val="80"/>
      </iconSet>
    </cfRule>
    <cfRule type="iconSet" priority="13">
      <iconSet showValue="0">
        <cfvo type="percent" val="0"/>
        <cfvo type="num" val="0.9"/>
        <cfvo type="num" val="0.95"/>
      </iconSet>
    </cfRule>
    <cfRule type="iconSet" priority="14">
      <iconSet>
        <cfvo type="percent" val="0"/>
        <cfvo type="percent" val="33"/>
        <cfvo type="percent" val="67"/>
      </iconSet>
    </cfRule>
    <cfRule type="iconSet" priority="15">
      <iconSet iconSet="4Arrows">
        <cfvo type="percent" val="0"/>
        <cfvo type="percent" val="25"/>
        <cfvo type="percent" val="50"/>
        <cfvo type="percentile" val="75"/>
      </iconSet>
    </cfRule>
    <cfRule type="iconSet" priority="16">
      <iconSet iconSet="5Arrows">
        <cfvo type="percent" val="0"/>
        <cfvo type="percent" val="20"/>
        <cfvo type="percent" val="40"/>
        <cfvo type="percent" val="60"/>
        <cfvo type="percent" val="80"/>
      </iconSet>
    </cfRule>
  </conditionalFormatting>
  <conditionalFormatting sqref="I9">
    <cfRule type="iconSet" priority="33">
      <iconSet iconSet="3Arrows">
        <cfvo type="percent" val="0"/>
        <cfvo type="percent" val="33"/>
        <cfvo type="percent" val="67"/>
      </iconSet>
    </cfRule>
    <cfRule type="iconSet" priority="32">
      <iconSet iconSet="5Arrows">
        <cfvo type="percent" val="0"/>
        <cfvo type="percent" val="20"/>
        <cfvo type="percent" val="40"/>
        <cfvo type="percent" val="60"/>
        <cfvo type="percent" val="80"/>
      </iconSet>
    </cfRule>
    <cfRule type="iconSet" priority="31">
      <iconSet iconSet="4Arrows">
        <cfvo type="percent" val="0"/>
        <cfvo type="percent" val="25"/>
        <cfvo type="percent" val="50"/>
        <cfvo type="percentile" val="75"/>
      </iconSet>
    </cfRule>
    <cfRule type="iconSet" priority="30">
      <iconSet>
        <cfvo type="percent" val="0"/>
        <cfvo type="percent" val="33"/>
        <cfvo type="percent" val="67"/>
      </iconSet>
    </cfRule>
    <cfRule type="iconSet" priority="29">
      <iconSet showValue="0">
        <cfvo type="percent" val="0"/>
        <cfvo type="num" val="0.9"/>
        <cfvo type="num" val="0.95"/>
      </iconSet>
    </cfRule>
    <cfRule type="iconSet" priority="28">
      <iconSet iconSet="5Arrows">
        <cfvo type="percent" val="0"/>
        <cfvo type="percent" val="20"/>
        <cfvo type="percent" val="40"/>
        <cfvo type="percent" val="60"/>
        <cfvo type="percent" val="80"/>
      </iconSet>
    </cfRule>
    <cfRule type="iconSet" priority="27">
      <iconSet iconSet="5Arrows">
        <cfvo type="percent" val="0"/>
        <cfvo type="num" val="-0.2"/>
        <cfvo type="num" val="-0.05"/>
        <cfvo type="num" val="0.05"/>
        <cfvo type="num" val="0.2"/>
      </iconSet>
    </cfRule>
    <cfRule type="iconSet" priority="26">
      <iconSet iconSet="3Arrows">
        <cfvo type="percent" val="0"/>
        <cfvo type="num" val="0"/>
        <cfvo type="num" val="0.01"/>
      </iconSet>
    </cfRule>
  </conditionalFormatting>
  <conditionalFormatting sqref="I11">
    <cfRule type="iconSet" priority="1">
      <iconSet iconSet="3Arrows">
        <cfvo type="percent" val="0"/>
        <cfvo type="num" val="0"/>
        <cfvo type="num" val="0.01"/>
      </iconSet>
    </cfRule>
    <cfRule type="iconSet" priority="8">
      <iconSet iconSet="3Arrows">
        <cfvo type="percent" val="0"/>
        <cfvo type="percent" val="33"/>
        <cfvo type="percent" val="67"/>
      </iconSet>
    </cfRule>
    <cfRule type="iconSet" priority="7">
      <iconSet iconSet="5Arrows">
        <cfvo type="percent" val="0"/>
        <cfvo type="percent" val="20"/>
        <cfvo type="percent" val="40"/>
        <cfvo type="percent" val="60"/>
        <cfvo type="percent" val="80"/>
      </iconSet>
    </cfRule>
    <cfRule type="iconSet" priority="6">
      <iconSet iconSet="4Arrows">
        <cfvo type="percent" val="0"/>
        <cfvo type="percent" val="25"/>
        <cfvo type="percent" val="50"/>
        <cfvo type="percentile" val="75"/>
      </iconSet>
    </cfRule>
    <cfRule type="iconSet" priority="5">
      <iconSet>
        <cfvo type="percent" val="0"/>
        <cfvo type="percent" val="33"/>
        <cfvo type="percent" val="67"/>
      </iconSet>
    </cfRule>
    <cfRule type="iconSet" priority="4">
      <iconSet showValue="0">
        <cfvo type="percent" val="0"/>
        <cfvo type="num" val="0.9"/>
        <cfvo type="num" val="0.95"/>
      </iconSet>
    </cfRule>
    <cfRule type="iconSet" priority="3">
      <iconSet iconSet="5Arrows">
        <cfvo type="percent" val="0"/>
        <cfvo type="percent" val="20"/>
        <cfvo type="percent" val="40"/>
        <cfvo type="percent" val="60"/>
        <cfvo type="percent" val="80"/>
      </iconSet>
    </cfRule>
    <cfRule type="iconSet" priority="2">
      <iconSet iconSet="5Arrows">
        <cfvo type="percent" val="0"/>
        <cfvo type="num" val="-0.2"/>
        <cfvo type="num" val="-0.05"/>
        <cfvo type="num" val="0.05"/>
        <cfvo type="num" val="0.2"/>
      </iconSet>
    </cfRule>
  </conditionalFormatting>
  <conditionalFormatting sqref="K5 K7">
    <cfRule type="dataBar" priority="60">
      <dataBar>
        <cfvo type="min"/>
        <cfvo type="max"/>
        <color rgb="FF638EC6"/>
      </dataBar>
      <extLst>
        <ext xmlns:x14="http://schemas.microsoft.com/office/spreadsheetml/2009/9/main" uri="{B025F937-C7B1-47D3-B67F-A62EFF666E3E}">
          <x14:id>{AD49E36B-5FA8-9B45-AA7C-6BA9DFC101E2}</x14:id>
        </ext>
      </extLst>
    </cfRule>
  </conditionalFormatting>
  <conditionalFormatting sqref="K9">
    <cfRule type="dataBar" priority="59">
      <dataBar>
        <cfvo type="min"/>
        <cfvo type="max"/>
        <color rgb="FF638EC6"/>
      </dataBar>
      <extLst>
        <ext xmlns:x14="http://schemas.microsoft.com/office/spreadsheetml/2009/9/main" uri="{B025F937-C7B1-47D3-B67F-A62EFF666E3E}">
          <x14:id>{C72F0C2A-E2B9-0946-B434-10B16389ADAE}</x14:id>
        </ext>
      </extLst>
    </cfRule>
  </conditionalFormatting>
  <conditionalFormatting sqref="K11">
    <cfRule type="dataBar" priority="9">
      <dataBar>
        <cfvo type="min"/>
        <cfvo type="max"/>
        <color rgb="FF638EC6"/>
      </dataBar>
      <extLst>
        <ext xmlns:x14="http://schemas.microsoft.com/office/spreadsheetml/2009/9/main" uri="{B025F937-C7B1-47D3-B67F-A62EFF666E3E}">
          <x14:id>{1C8E2180-9AF5-CF41-9735-E4DD210F5761}</x14:id>
        </ext>
      </extLst>
    </cfRule>
  </conditionalFormatting>
  <pageMargins left="0.75" right="0.75" top="1" bottom="1" header="0.5" footer="0.5"/>
  <pageSetup scale="75" orientation="landscape" r:id="rId1"/>
  <headerFooter alignWithMargins="0"/>
  <drawing r:id="rId2"/>
  <extLst>
    <ext xmlns:x14="http://schemas.microsoft.com/office/spreadsheetml/2009/9/main" uri="{78C0D931-6437-407d-A8EE-F0AAD7539E65}">
      <x14:conditionalFormattings>
        <x14:conditionalFormatting xmlns:xm="http://schemas.microsoft.com/office/excel/2006/main">
          <x14:cfRule type="dataBar" id="{AD49E36B-5FA8-9B45-AA7C-6BA9DFC101E2}">
            <x14:dataBar minLength="0" maxLength="100" negativeBarColorSameAsPositive="1" axisPosition="none">
              <x14:cfvo type="min"/>
              <x14:cfvo type="max"/>
            </x14:dataBar>
          </x14:cfRule>
          <xm:sqref>K5 K7</xm:sqref>
        </x14:conditionalFormatting>
        <x14:conditionalFormatting xmlns:xm="http://schemas.microsoft.com/office/excel/2006/main">
          <x14:cfRule type="dataBar" id="{C72F0C2A-E2B9-0946-B434-10B16389ADAE}">
            <x14:dataBar minLength="0" maxLength="100" negativeBarColorSameAsPositive="1" axisPosition="none">
              <x14:cfvo type="min"/>
              <x14:cfvo type="max"/>
            </x14:dataBar>
          </x14:cfRule>
          <xm:sqref>K9</xm:sqref>
        </x14:conditionalFormatting>
        <x14:conditionalFormatting xmlns:xm="http://schemas.microsoft.com/office/excel/2006/main">
          <x14:cfRule type="dataBar" id="{1C8E2180-9AF5-CF41-9735-E4DD210F5761}">
            <x14:dataBar minLength="0" maxLength="100" negativeBarColorSameAsPositive="1" axisPosition="none">
              <x14:cfvo type="min"/>
              <x14:cfvo type="max"/>
            </x14:dataBar>
          </x14:cfRule>
          <xm:sqref>K11</xm:sqref>
        </x14:conditionalFormatting>
      </x14:conditionalFormattings>
    </ext>
    <ext xmlns:x14="http://schemas.microsoft.com/office/spreadsheetml/2009/9/main" uri="{05C60535-1F16-4fd2-B633-F4F36F0B64E0}">
      <x14:sparklineGroups xmlns:xm="http://schemas.microsoft.com/office/excel/2006/main">
        <x14:sparklineGroup manualMax="0" manualMin="0" displayEmptyCellsAs="gap" high="1" xr2:uid="{00000000-0003-0000-0800-000022000000}">
          <x14:colorSeries rgb="FF376092"/>
          <x14:colorNegative rgb="FFD00000"/>
          <x14:colorAxis rgb="FF000000"/>
          <x14:colorMarkers rgb="FFD00000"/>
          <x14:colorFirst rgb="FFD00000"/>
          <x14:colorLast rgb="FFD00000"/>
          <x14:colorHigh rgb="FFD00000"/>
          <x14:colorLow rgb="FFD00000"/>
          <x14:sparklines>
            <x14:sparkline>
              <xm:f>data!H213:H224</xm:f>
              <xm:sqref>K11</xm:sqref>
            </x14:sparkline>
          </x14:sparklines>
        </x14:sparklineGroup>
        <x14:sparklineGroup manualMax="0" manualMin="0" displayEmptyCellsAs="gap" high="1" xr2:uid="{00000000-0003-0000-0800-00001E000000}">
          <x14:colorSeries rgb="FF376092"/>
          <x14:colorNegative rgb="FFD00000"/>
          <x14:colorAxis rgb="FF000000"/>
          <x14:colorMarkers rgb="FFD00000"/>
          <x14:colorFirst rgb="FFD00000"/>
          <x14:colorLast rgb="FFD00000"/>
          <x14:colorHigh rgb="FFD00000"/>
          <x14:colorLow rgb="FFD00000"/>
          <x14:sparklines>
            <x14:sparkline>
              <xm:f>data!H55:H66</xm:f>
              <xm:sqref>K7</xm:sqref>
            </x14:sparkline>
          </x14:sparklines>
        </x14:sparklineGroup>
        <x14:sparklineGroup manualMax="0" manualMin="0" displayEmptyCellsAs="gap" high="1" xr2:uid="{00000000-0003-0000-0800-00001F000000}">
          <x14:colorSeries rgb="FF376092"/>
          <x14:colorNegative rgb="FFD00000"/>
          <x14:colorAxis rgb="FF000000"/>
          <x14:colorMarkers rgb="FFD00000"/>
          <x14:colorFirst rgb="FFD00000"/>
          <x14:colorLast rgb="FFD00000"/>
          <x14:colorHigh rgb="FFD00000"/>
          <x14:colorLow rgb="FFD00000"/>
          <x14:sparklines>
            <x14:sparkline>
              <xm:f>data!H3:H14</xm:f>
              <xm:sqref>K5</xm:sqref>
            </x14:sparkline>
          </x14:sparklines>
        </x14:sparklineGroup>
        <x14:sparklineGroup manualMax="0" manualMin="0" displayEmptyCellsAs="gap" high="1" xr2:uid="{00000000-0003-0000-0800-000020000000}">
          <x14:colorSeries rgb="FF376092"/>
          <x14:colorNegative rgb="FFD00000"/>
          <x14:colorAxis rgb="FF000000"/>
          <x14:colorMarkers rgb="FFD00000"/>
          <x14:colorFirst rgb="FFD00000"/>
          <x14:colorLast rgb="FFD00000"/>
          <x14:colorHigh rgb="FFD00000"/>
          <x14:colorLow rgb="FFD00000"/>
          <x14:sparklines>
            <x14:sparkline>
              <xm:f>data!H106:H117</xm:f>
              <xm:sqref>K9</xm:sqref>
            </x14:sparkline>
          </x14:sparklines>
        </x14:sparklineGroup>
      </x14:sparklineGroups>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19</vt:i4>
      </vt:variant>
      <vt:variant>
        <vt:lpstr>Named Ranges</vt:lpstr>
      </vt:variant>
      <vt:variant>
        <vt:i4>13</vt:i4>
      </vt:variant>
    </vt:vector>
  </HeadingPairs>
  <TitlesOfParts>
    <vt:vector size="32" baseType="lpstr">
      <vt:lpstr>Cover</vt:lpstr>
      <vt:lpstr>Introduction</vt:lpstr>
      <vt:lpstr>ASDC</vt:lpstr>
      <vt:lpstr>ASF</vt:lpstr>
      <vt:lpstr>CDDIS</vt:lpstr>
      <vt:lpstr>GESDISC</vt:lpstr>
      <vt:lpstr>GHRC</vt:lpstr>
      <vt:lpstr>LAADS</vt:lpstr>
      <vt:lpstr>LPDAAC</vt:lpstr>
      <vt:lpstr>NSIDC</vt:lpstr>
      <vt:lpstr>ORNL</vt:lpstr>
      <vt:lpstr>OBDAAC</vt:lpstr>
      <vt:lpstr>PODAAC</vt:lpstr>
      <vt:lpstr>SEDAC</vt:lpstr>
      <vt:lpstr>LANCE</vt:lpstr>
      <vt:lpstr>data</vt:lpstr>
      <vt:lpstr>Summary_data</vt:lpstr>
      <vt:lpstr>L_data</vt:lpstr>
      <vt:lpstr>L_Summary_data</vt:lpstr>
      <vt:lpstr>ASDC!Print_Area</vt:lpstr>
      <vt:lpstr>ASF!Print_Area</vt:lpstr>
      <vt:lpstr>CDDIS!Print_Area</vt:lpstr>
      <vt:lpstr>GESDISC!Print_Area</vt:lpstr>
      <vt:lpstr>GHRC!Print_Area</vt:lpstr>
      <vt:lpstr>LAADS!Print_Area</vt:lpstr>
      <vt:lpstr>LANCE!Print_Area</vt:lpstr>
      <vt:lpstr>LPDAAC!Print_Area</vt:lpstr>
      <vt:lpstr>NSIDC!Print_Area</vt:lpstr>
      <vt:lpstr>OBDAAC!Print_Area</vt:lpstr>
      <vt:lpstr>ORNL!Print_Area</vt:lpstr>
      <vt:lpstr>PODAAC!Print_Area</vt:lpstr>
      <vt:lpstr>SEDAC!Print_Area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youngin.won@nasa.gov</dc:creator>
  <cp:lastModifiedBy>Wanchoo, Lalit (GSFC-423.0)[ADNET SYSTEMS INC]</cp:lastModifiedBy>
  <cp:lastPrinted>2015-12-15T15:48:34Z</cp:lastPrinted>
  <dcterms:created xsi:type="dcterms:W3CDTF">2015-11-25T18:34:53Z</dcterms:created>
  <dcterms:modified xsi:type="dcterms:W3CDTF">2025-10-10T19:26:15Z</dcterms:modified>
</cp:coreProperties>
</file>