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drawings/drawing37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8" yWindow="58660" windowWidth="36840" windowHeight="28104" tabRatio="870" activeTab="0"/>
  </bookViews>
  <sheets>
    <sheet name="Cover" sheetId="1" r:id="rId1"/>
    <sheet name="Introduction" sheetId="2" r:id="rId2"/>
    <sheet name="ASDC" sheetId="3" r:id="rId3"/>
    <sheet name="ASF" sheetId="4" r:id="rId4"/>
    <sheet name="CDDIS" sheetId="5" r:id="rId5"/>
    <sheet name="GESDISC" sheetId="6" r:id="rId6"/>
    <sheet name="GHRC" sheetId="7" r:id="rId7"/>
    <sheet name="LPDAAC" sheetId="8" r:id="rId8"/>
    <sheet name="LAADS" sheetId="9" r:id="rId9"/>
    <sheet name="NSIDC" sheetId="10" r:id="rId10"/>
    <sheet name="OBDAAC" sheetId="11" r:id="rId11"/>
    <sheet name="ORNL" sheetId="12" r:id="rId12"/>
    <sheet name="PODAAC" sheetId="13" r:id="rId13"/>
    <sheet name="SEDAC" sheetId="14" r:id="rId14"/>
    <sheet name="LANCE" sheetId="15" r:id="rId15"/>
    <sheet name="Summary_data" sheetId="16" r:id="rId16"/>
    <sheet name="data" sheetId="17" r:id="rId17"/>
    <sheet name="L_Summary_data" sheetId="18" r:id="rId18"/>
    <sheet name="L_data" sheetId="19" r:id="rId19"/>
  </sheets>
  <definedNames>
    <definedName name="_xlnm.Print_Area" localSheetId="2">'ASDC'!$A$1:$C$14</definedName>
    <definedName name="_xlnm.Print_Area" localSheetId="3">'ASF'!$A$1:$C$14</definedName>
    <definedName name="_xlnm.Print_Area" localSheetId="4">'CDDIS'!$A$1:$C$14</definedName>
    <definedName name="_xlnm.Print_Area" localSheetId="5">'GESDISC'!$A$1:$C$14</definedName>
    <definedName name="_xlnm.Print_Area" localSheetId="6">'GHRC'!$A$1:$C$14</definedName>
    <definedName name="_xlnm.Print_Area" localSheetId="17">'L_Summary_data'!#REF!</definedName>
    <definedName name="_xlnm.Print_Area" localSheetId="8">'LAADS'!$A$1:$C$14</definedName>
    <definedName name="_xlnm.Print_Area" localSheetId="14">'LANCE'!$A$1:$C$14</definedName>
    <definedName name="_xlnm.Print_Area" localSheetId="7">'LPDAAC'!$A$1:$C$14</definedName>
    <definedName name="_xlnm.Print_Area" localSheetId="9">'NSIDC'!$A$1:$K$32</definedName>
    <definedName name="_xlnm.Print_Area" localSheetId="10">'OBDAAC'!$A$1:$C$14</definedName>
    <definedName name="_xlnm.Print_Area" localSheetId="11">'ORNL'!$A$1:$C$14</definedName>
    <definedName name="_xlnm.Print_Area" localSheetId="12">'PODAAC'!$A$1:$C$14</definedName>
    <definedName name="_xlnm.Print_Area" localSheetId="13">'SEDAC'!$A$1:$C$14</definedName>
    <definedName name="_xlnm.Print_Area" localSheetId="15">'Summary_data'!#REF!</definedName>
  </definedNames>
  <calcPr fullCalcOnLoad="1"/>
</workbook>
</file>

<file path=xl/sharedStrings.xml><?xml version="1.0" encoding="utf-8"?>
<sst xmlns="http://schemas.openxmlformats.org/spreadsheetml/2006/main" count="992" uniqueCount="178">
  <si>
    <t>Unique Data Sets</t>
  </si>
  <si>
    <t>Distinct Users of EOSDIS Data and Services</t>
  </si>
  <si>
    <t xml:space="preserve">Web Site Visits </t>
  </si>
  <si>
    <t>Average Archive Growth</t>
  </si>
  <si>
    <t>Total Archive Volume</t>
  </si>
  <si>
    <t>End User Distribution Products</t>
  </si>
  <si>
    <t>End User Average Distribution Volume</t>
  </si>
  <si>
    <t>ASDC</t>
  </si>
  <si>
    <t>ASF</t>
  </si>
  <si>
    <t>CDDIS</t>
  </si>
  <si>
    <t>GESDISC</t>
  </si>
  <si>
    <t>GHRC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</si>
  <si>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</si>
  <si>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</si>
  <si>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</si>
  <si>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</si>
  <si>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</si>
  <si>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</si>
  <si>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</si>
  <si>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</si>
  <si>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</si>
  <si>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</si>
  <si>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</si>
  <si>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</si>
  <si>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</si>
  <si>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</si>
  <si>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</si>
  <si>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</si>
  <si>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</si>
  <si>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</si>
  <si>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</si>
  <si>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</si>
  <si>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</si>
  <si>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</si>
  <si>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</si>
  <si>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</si>
  <si>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</si>
  <si>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</si>
  <si>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</si>
  <si>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</si>
  <si>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</si>
  <si>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</si>
  <si>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</si>
  <si>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</si>
  <si>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</si>
  <si>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</si>
  <si>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</si>
  <si>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</si>
  <si>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</si>
  <si>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</si>
  <si>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</si>
  <si>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</si>
  <si>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</si>
  <si>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</si>
  <si>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</si>
  <si>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</si>
  <si>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</si>
  <si>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</si>
  <si>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</si>
  <si>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</si>
  <si>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</si>
  <si>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</si>
  <si>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</si>
  <si>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</si>
  <si>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</si>
  <si>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</si>
  <si>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</si>
  <si>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</si>
  <si>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</si>
  <si>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</si>
  <si>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</si>
  <si>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</si>
  <si>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</si>
  <si>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</si>
  <si>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</si>
  <si>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</si>
  <si>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</si>
  <si>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</si>
  <si>
    <t xml:space="preserve">Web Site Visits </t>
  </si>
  <si>
    <t>Average Archive Growth</t>
  </si>
  <si>
    <t>End User Average Distribution Volume</t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</si>
  <si>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</si>
  <si>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</si>
  <si>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</si>
  <si>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</si>
  <si>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FY16</t>
  </si>
  <si>
    <t>LARC ANGE</t>
  </si>
  <si>
    <t>LARC ECS</t>
  </si>
  <si>
    <t>LARC ORDERS</t>
  </si>
  <si>
    <t>LARC SVC</t>
  </si>
  <si>
    <t>LPDAAC
DEM</t>
  </si>
  <si>
    <t>LPDAAC
LTA</t>
  </si>
  <si>
    <t>NSIDCV0</t>
  </si>
  <si>
    <t>PODAACDS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</si>
  <si>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</si>
  <si>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</si>
  <si>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</si>
  <si>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</si>
  <si>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</si>
  <si>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</si>
  <si>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</si>
  <si>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</si>
  <si>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</si>
  <si>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</si>
  <si>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</si>
  <si>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</si>
  <si>
    <t>Data User (Registered)</t>
  </si>
  <si>
    <t>*1 Un-registered (Rapid Response and FIRMS users) excluded</t>
  </si>
  <si>
    <t>*2 Represents Production Volume for LANCE</t>
  </si>
  <si>
    <t>FY17</t>
  </si>
  <si>
    <t>2017-09</t>
  </si>
  <si>
    <t>from "Data_Users" tab (stage 3, Distinct data users)</t>
  </si>
  <si>
    <t>Above two tables are total (including NRT)</t>
  </si>
  <si>
    <t>using LANCEdistdailysummaryMV</t>
  </si>
  <si>
    <t># of registered users in "NRT" tab of annual report</t>
  </si>
  <si>
    <t>For September data, copy from last year's result</t>
  </si>
  <si>
    <t>Do not modify the upper table</t>
  </si>
  <si>
    <t>Modify the table below only if required</t>
  </si>
  <si>
    <t>FY2017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</si>
  <si>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</si>
  <si>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</si>
  <si>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</si>
  <si>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</si>
  <si>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</si>
  <si>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</si>
  <si>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</si>
  <si>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</si>
  <si>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</si>
  <si>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</si>
  <si>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</si>
  <si>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</si>
  <si>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FY17 Total</t>
  </si>
  <si>
    <t>Fy18 total</t>
  </si>
  <si>
    <t>Fy17 Total</t>
  </si>
  <si>
    <t>FY18</t>
  </si>
  <si>
    <t>FY17 archive files (Millions)</t>
  </si>
  <si>
    <t>FY17 archive Vol (TB)</t>
  </si>
  <si>
    <t>(Oct 2017 to Sep 2018)</t>
  </si>
  <si>
    <t>FY2018 Metrics (Oct 2017 to Sep 2018)</t>
  </si>
  <si>
    <t>FY 2018</t>
  </si>
  <si>
    <t>FY18 archive file (mil)</t>
  </si>
  <si>
    <t>FY18 archive (TB)</t>
  </si>
  <si>
    <t>Do not change</t>
  </si>
  <si>
    <t>FY18 total</t>
  </si>
  <si>
    <t>FY17 total</t>
  </si>
  <si>
    <r>
      <t xml:space="preserve">
</t>
    </r>
    <r>
      <rPr>
        <sz val="36"/>
        <rFont val="Arial"/>
        <family val="2"/>
      </rPr>
      <t xml:space="preserve">
EOSDIS DAAC Profiles
FY2018
Part of the Annual Metrics Report</t>
    </r>
    <r>
      <rPr>
        <sz val="10"/>
        <rFont val="Arial"/>
        <family val="2"/>
      </rPr>
      <t xml:space="preserve">
</t>
    </r>
  </si>
  <si>
    <t xml:space="preserve">
Prepared By:
Lalit Wanchoo, Adnet Systems, Inc.
Young-In Won, Adnet Systems, Inc.
Durga Kafle, Adnet Systems, Inc
November 2018</t>
  </si>
  <si>
    <r>
      <rPr>
        <sz val="10"/>
        <rFont val="Arial"/>
        <family val="2"/>
      </rPr>
      <t>This file contains tables and graphs of FY2018 metrics and trends for each EOSDIS DAAC plus the total. It complements the FY18 EOSDIS-wide metrics in the EOSDIS FY2018 Annual Metrics Report (filename:  FY18AnnualReport.xlsx)
The DAACs are profiled in six charts:
1. Summary for FY 2018
     a. A summary of the FY2018 key metrics per DAAC compared to the EOSDIS Total
2. Distribution and User Trends (Oct 2017 - Sep 2018)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indexed="10"/>
        <rFont val="Arial"/>
        <family val="2"/>
      </rPr>
      <t xml:space="preserve">
</t>
    </r>
  </si>
  <si>
    <t>FY17 archive files(Millions)</t>
  </si>
  <si>
    <t xml:space="preserve">From total_users &gt; total distinct users of data and services </t>
  </si>
  <si>
    <t>From web_visits-visitors&gt; total plus LANCE_web_metircs&gt;web  # visit</t>
  </si>
  <si>
    <t>From _summary&gt; Unique data sets</t>
  </si>
  <si>
    <t>From total_users&gt; % of Web Uers using the data</t>
  </si>
  <si>
    <t>From a separate file from Lalit</t>
  </si>
  <si>
    <t>FY2018</t>
  </si>
  <si>
    <t>This these two cel;s</t>
  </si>
  <si>
    <t>Result from script1</t>
  </si>
  <si>
    <t>from "Distribution"</t>
  </si>
  <si>
    <t>From Web_Visits-Visitors tab in annual report, not the sum of monthly web visitors</t>
  </si>
  <si>
    <t>From Web_Visits-Visitors tab, not the sum of monthly web visitors</t>
  </si>
  <si>
    <t>LANCE_WebMetrics</t>
  </si>
  <si>
    <t>NRT</t>
  </si>
  <si>
    <t>Source Tab</t>
  </si>
  <si>
    <t>Unique_Product_Counts</t>
  </si>
  <si>
    <t>Web_visits-Visitors</t>
  </si>
  <si>
    <t>Total_Users</t>
  </si>
  <si>
    <t xml:space="preserve"> Archive</t>
  </si>
  <si>
    <t>Archive</t>
  </si>
  <si>
    <t>Total Archive Size</t>
  </si>
  <si>
    <t>NRT (2017)</t>
  </si>
  <si>
    <t>from FY18_annual_NRT_Distribution by month</t>
  </si>
  <si>
    <t>script5_1, FY18_annual_registered_NRT_Users by month</t>
  </si>
  <si>
    <t>Total User</t>
  </si>
  <si>
    <t>Total Volume</t>
  </si>
  <si>
    <t xml:space="preserve"> from NRT tab</t>
  </si>
  <si>
    <t>from "LANCE_WebMetrics"</t>
  </si>
  <si>
    <t>Gruber4589**</t>
  </si>
  <si>
    <t>LAADS DAAC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</si>
</sst>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6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63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FF5FD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theme="3" tint="0.3999499976634979"/>
      </left>
      <right style="thin">
        <color theme="3" tint="0.3999499976634979"/>
      </right>
      <top style="medium"/>
      <bottom/>
    </border>
    <border>
      <left style="thin">
        <color theme="3" tint="0.3999499976634979"/>
      </left>
      <right/>
      <top style="medium"/>
      <bottom/>
    </border>
    <border>
      <left/>
      <right style="thin">
        <color theme="3" tint="0.3999499976634979"/>
      </right>
      <top style="medium"/>
      <bottom/>
    </border>
    <border>
      <left style="thin">
        <color theme="3" tint="0.39991000294685364"/>
      </left>
      <right style="medium"/>
      <top style="medium"/>
      <bottom/>
    </border>
    <border>
      <left style="thin">
        <color theme="3" tint="0.3999499976634979"/>
      </left>
      <right style="thin">
        <color theme="3" tint="0.3999499976634979"/>
      </right>
      <top/>
      <bottom style="thin"/>
    </border>
    <border>
      <left style="thin">
        <color theme="3" tint="0.3999499976634979"/>
      </left>
      <right/>
      <top/>
      <bottom style="thin"/>
    </border>
    <border>
      <left/>
      <right style="thin">
        <color theme="3" tint="0.3999499976634979"/>
      </right>
      <top/>
      <bottom style="thin"/>
    </border>
    <border>
      <left style="thin">
        <color theme="3" tint="0.39991000294685364"/>
      </left>
      <right style="medium"/>
      <top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3" tint="0.3999499976634979"/>
      </right>
      <top style="medium"/>
      <bottom/>
    </border>
    <border>
      <left style="medium"/>
      <right style="thin">
        <color theme="3" tint="0.3999499976634979"/>
      </right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5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4" fillId="0" borderId="0" xfId="67">
      <alignment/>
      <protection/>
    </xf>
    <xf numFmtId="43" fontId="54" fillId="0" borderId="0" xfId="46" applyFont="1" applyAlignment="1">
      <alignment/>
    </xf>
    <xf numFmtId="0" fontId="70" fillId="0" borderId="0" xfId="67" applyFont="1" applyAlignment="1">
      <alignment horizontal="center" vertical="center" wrapText="1"/>
      <protection/>
    </xf>
    <xf numFmtId="0" fontId="54" fillId="0" borderId="0" xfId="67" applyAlignment="1">
      <alignment vertical="center" wrapText="1"/>
      <protection/>
    </xf>
    <xf numFmtId="0" fontId="54" fillId="0" borderId="0" xfId="67" applyNumberFormat="1">
      <alignment/>
      <protection/>
    </xf>
    <xf numFmtId="0" fontId="54" fillId="0" borderId="0" xfId="67" applyAlignment="1">
      <alignment horizontal="left"/>
      <protection/>
    </xf>
    <xf numFmtId="43" fontId="54" fillId="0" borderId="0" xfId="42" applyFont="1" applyAlignment="1">
      <alignment/>
    </xf>
    <xf numFmtId="169" fontId="54" fillId="0" borderId="0" xfId="42" applyNumberFormat="1" applyFont="1" applyAlignment="1">
      <alignment/>
    </xf>
    <xf numFmtId="0" fontId="70" fillId="0" borderId="0" xfId="67" applyFont="1">
      <alignment/>
      <protection/>
    </xf>
    <xf numFmtId="165" fontId="54" fillId="0" borderId="0" xfId="42" applyNumberFormat="1" applyFont="1" applyAlignment="1">
      <alignment/>
    </xf>
    <xf numFmtId="165" fontId="54" fillId="0" borderId="0" xfId="67" applyNumberFormat="1">
      <alignment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4" fillId="0" borderId="0" xfId="67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4" fillId="0" borderId="10" xfId="67" applyNumberFormat="1" applyFont="1" applyBorder="1">
      <alignment/>
      <protection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54" fillId="0" borderId="0" xfId="67" applyFont="1">
      <alignment/>
      <protection/>
    </xf>
    <xf numFmtId="165" fontId="54" fillId="0" borderId="0" xfId="42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9" fontId="0" fillId="0" borderId="0" xfId="0" applyNumberForma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 vertical="center" wrapText="1"/>
    </xf>
    <xf numFmtId="14" fontId="71" fillId="35" borderId="16" xfId="65" applyNumberFormat="1" applyFont="1" applyFill="1" applyBorder="1" applyAlignment="1">
      <alignment horizontal="center" vertical="center"/>
      <protection/>
    </xf>
    <xf numFmtId="0" fontId="71" fillId="35" borderId="17" xfId="65" applyFont="1" applyFill="1" applyBorder="1" applyAlignment="1">
      <alignment horizontal="center" vertical="center"/>
      <protection/>
    </xf>
    <xf numFmtId="166" fontId="71" fillId="35" borderId="18" xfId="65" applyNumberFormat="1" applyFont="1" applyFill="1" applyBorder="1" applyAlignment="1">
      <alignment horizontal="center" vertical="center"/>
      <protection/>
    </xf>
    <xf numFmtId="0" fontId="71" fillId="35" borderId="19" xfId="65" applyFont="1" applyFill="1" applyBorder="1" applyAlignment="1">
      <alignment horizontal="center" vertical="center"/>
      <protection/>
    </xf>
    <xf numFmtId="166" fontId="71" fillId="35" borderId="20" xfId="65" applyNumberFormat="1" applyFont="1" applyFill="1" applyBorder="1" applyAlignment="1">
      <alignment horizontal="center" vertical="center"/>
      <protection/>
    </xf>
    <xf numFmtId="14" fontId="71" fillId="35" borderId="21" xfId="65" applyNumberFormat="1" applyFont="1" applyFill="1" applyBorder="1" applyAlignment="1">
      <alignment horizontal="center" vertical="center"/>
      <protection/>
    </xf>
    <xf numFmtId="166" fontId="71" fillId="35" borderId="22" xfId="65" applyNumberFormat="1" applyFont="1" applyFill="1" applyBorder="1" applyAlignment="1">
      <alignment horizontal="center" vertical="center"/>
      <protection/>
    </xf>
    <xf numFmtId="14" fontId="71" fillId="35" borderId="23" xfId="65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8" fillId="33" borderId="24" xfId="0" applyFont="1" applyFill="1" applyBorder="1" applyAlignment="1">
      <alignment horizontal="left" wrapText="1"/>
    </xf>
    <xf numFmtId="3" fontId="18" fillId="36" borderId="24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6" borderId="14" xfId="0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43" fontId="18" fillId="36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3" fontId="12" fillId="36" borderId="25" xfId="0" applyNumberFormat="1" applyFont="1" applyFill="1" applyBorder="1" applyAlignment="1">
      <alignment horizontal="right" vertical="center" wrapText="1" indent="1"/>
    </xf>
    <xf numFmtId="172" fontId="12" fillId="36" borderId="14" xfId="0" applyNumberFormat="1" applyFont="1" applyFill="1" applyBorder="1" applyAlignment="1">
      <alignment horizontal="right" vertical="center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25" xfId="0" applyNumberFormat="1" applyFont="1" applyFill="1" applyBorder="1" applyAlignment="1">
      <alignment horizontal="right" vertical="center" wrapText="1" indent="1"/>
    </xf>
    <xf numFmtId="0" fontId="54" fillId="0" borderId="10" xfId="67" applyFont="1" applyBorder="1">
      <alignment/>
      <protection/>
    </xf>
    <xf numFmtId="0" fontId="54" fillId="0" borderId="10" xfId="67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0" fillId="0" borderId="0" xfId="68" applyFont="1">
      <alignment/>
      <protection/>
    </xf>
    <xf numFmtId="0" fontId="54" fillId="0" borderId="0" xfId="68">
      <alignment/>
      <protection/>
    </xf>
    <xf numFmtId="0" fontId="0" fillId="0" borderId="10" xfId="0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/>
    </xf>
    <xf numFmtId="43" fontId="54" fillId="0" borderId="0" xfId="42" applyFont="1" applyAlignment="1">
      <alignment/>
    </xf>
    <xf numFmtId="0" fontId="54" fillId="0" borderId="0" xfId="68" applyFont="1">
      <alignment/>
      <protection/>
    </xf>
    <xf numFmtId="0" fontId="70" fillId="0" borderId="26" xfId="68" applyFont="1" applyBorder="1" applyAlignment="1">
      <alignment horizontal="center"/>
      <protection/>
    </xf>
    <xf numFmtId="0" fontId="54" fillId="0" borderId="29" xfId="68" applyBorder="1">
      <alignment/>
      <protection/>
    </xf>
    <xf numFmtId="0" fontId="54" fillId="0" borderId="0" xfId="68" applyBorder="1">
      <alignment/>
      <protection/>
    </xf>
    <xf numFmtId="0" fontId="70" fillId="0" borderId="0" xfId="68" applyFont="1" applyAlignment="1">
      <alignment horizontal="center" vertical="center" wrapText="1"/>
      <protection/>
    </xf>
    <xf numFmtId="169" fontId="54" fillId="0" borderId="0" xfId="42" applyNumberFormat="1" applyFont="1" applyAlignment="1">
      <alignment/>
    </xf>
    <xf numFmtId="0" fontId="54" fillId="0" borderId="0" xfId="68" applyNumberFormat="1">
      <alignment/>
      <protection/>
    </xf>
    <xf numFmtId="0" fontId="0" fillId="0" borderId="0" xfId="0" applyBorder="1" applyAlignment="1">
      <alignment/>
    </xf>
    <xf numFmtId="0" fontId="54" fillId="0" borderId="0" xfId="68" applyFont="1" applyBorder="1">
      <alignment/>
      <protection/>
    </xf>
    <xf numFmtId="49" fontId="54" fillId="0" borderId="10" xfId="68" applyNumberFormat="1" applyFont="1" applyBorder="1">
      <alignment/>
      <protection/>
    </xf>
    <xf numFmtId="0" fontId="54" fillId="0" borderId="30" xfId="68" applyFont="1" applyBorder="1">
      <alignment/>
      <protection/>
    </xf>
    <xf numFmtId="0" fontId="0" fillId="0" borderId="10" xfId="0" applyFont="1" applyBorder="1" applyAlignment="1">
      <alignment horizontal="center"/>
    </xf>
    <xf numFmtId="43" fontId="54" fillId="0" borderId="10" xfId="42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62" applyNumberFormat="1" applyFill="1" applyBorder="1" applyAlignment="1">
      <alignment horizontal="center" vertical="center" wrapText="1"/>
      <protection/>
    </xf>
    <xf numFmtId="168" fontId="0" fillId="0" borderId="10" xfId="7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54" fillId="0" borderId="2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12" fillId="33" borderId="12" xfId="0" applyFont="1" applyFill="1" applyBorder="1" applyAlignment="1">
      <alignment horizontal="left" vertical="top" wrapText="1" indent="1"/>
    </xf>
    <xf numFmtId="3" fontId="12" fillId="36" borderId="2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top" wrapText="1" indent="1"/>
    </xf>
    <xf numFmtId="3" fontId="12" fillId="36" borderId="14" xfId="0" applyNumberFormat="1" applyFont="1" applyFill="1" applyBorder="1" applyAlignment="1">
      <alignment horizontal="right" vertical="center" wrapText="1" indent="1"/>
    </xf>
    <xf numFmtId="0" fontId="12" fillId="36" borderId="14" xfId="0" applyNumberFormat="1" applyFont="1" applyFill="1" applyBorder="1" applyAlignment="1">
      <alignment horizontal="right" vertical="center" wrapText="1" indent="1"/>
    </xf>
    <xf numFmtId="171" fontId="12" fillId="36" borderId="14" xfId="0" applyNumberFormat="1" applyFont="1" applyFill="1" applyBorder="1" applyAlignment="1">
      <alignment horizontal="righ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1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0" fillId="0" borderId="31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9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54" fillId="0" borderId="10" xfId="67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4" fillId="0" borderId="0" xfId="67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0" fontId="74" fillId="0" borderId="0" xfId="68" applyFont="1">
      <alignment/>
      <protection/>
    </xf>
    <xf numFmtId="0" fontId="0" fillId="13" borderId="10" xfId="0" applyFont="1" applyFill="1" applyBorder="1" applyAlignment="1">
      <alignment horizontal="center" vertical="center"/>
    </xf>
    <xf numFmtId="3" fontId="0" fillId="13" borderId="10" xfId="0" applyNumberFormat="1" applyFont="1" applyFill="1" applyBorder="1" applyAlignment="1">
      <alignment vertical="center"/>
    </xf>
    <xf numFmtId="43" fontId="0" fillId="5" borderId="10" xfId="42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43" fontId="54" fillId="5" borderId="0" xfId="42" applyFont="1" applyFill="1" applyAlignment="1">
      <alignment/>
    </xf>
    <xf numFmtId="0" fontId="54" fillId="5" borderId="0" xfId="67" applyFill="1">
      <alignment/>
      <protection/>
    </xf>
    <xf numFmtId="169" fontId="54" fillId="5" borderId="0" xfId="42" applyNumberFormat="1" applyFont="1" applyFill="1" applyAlignment="1">
      <alignment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165" fontId="0" fillId="5" borderId="10" xfId="42" applyNumberFormat="1" applyFont="1" applyFill="1" applyBorder="1" applyAlignment="1">
      <alignment vertical="center"/>
    </xf>
    <xf numFmtId="165" fontId="54" fillId="5" borderId="0" xfId="42" applyNumberFormat="1" applyFont="1" applyFill="1" applyAlignment="1">
      <alignment/>
    </xf>
    <xf numFmtId="0" fontId="54" fillId="7" borderId="10" xfId="67" applyFill="1" applyBorder="1">
      <alignment/>
      <protection/>
    </xf>
    <xf numFmtId="49" fontId="0" fillId="5" borderId="10" xfId="0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9" fontId="0" fillId="5" borderId="10" xfId="0" applyNumberFormat="1" applyFill="1" applyBorder="1" applyAlignment="1">
      <alignment horizontal="center"/>
    </xf>
    <xf numFmtId="165" fontId="0" fillId="5" borderId="0" xfId="42" applyNumberFormat="1" applyFont="1" applyFill="1" applyAlignment="1">
      <alignment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165" fontId="0" fillId="7" borderId="0" xfId="42" applyNumberFormat="1" applyFont="1" applyFill="1" applyAlignment="1">
      <alignment/>
    </xf>
    <xf numFmtId="165" fontId="0" fillId="7" borderId="0" xfId="42" applyNumberFormat="1" applyFont="1" applyFill="1" applyBorder="1" applyAlignment="1">
      <alignment/>
    </xf>
    <xf numFmtId="165" fontId="0" fillId="7" borderId="0" xfId="42" applyNumberFormat="1" applyFont="1" applyFill="1" applyBorder="1" applyAlignment="1">
      <alignment/>
    </xf>
    <xf numFmtId="49" fontId="0" fillId="5" borderId="11" xfId="0" applyNumberFormat="1" applyFill="1" applyBorder="1" applyAlignment="1">
      <alignment horizontal="center"/>
    </xf>
    <xf numFmtId="169" fontId="0" fillId="5" borderId="0" xfId="42" applyNumberFormat="1" applyFont="1" applyFill="1" applyAlignment="1">
      <alignment/>
    </xf>
    <xf numFmtId="43" fontId="0" fillId="5" borderId="0" xfId="42" applyFont="1" applyFill="1" applyAlignment="1">
      <alignment/>
    </xf>
    <xf numFmtId="43" fontId="0" fillId="7" borderId="0" xfId="42" applyFont="1" applyFill="1" applyAlignment="1">
      <alignment/>
    </xf>
    <xf numFmtId="43" fontId="0" fillId="7" borderId="0" xfId="42" applyFont="1" applyFill="1" applyBorder="1" applyAlignment="1">
      <alignment/>
    </xf>
    <xf numFmtId="43" fontId="0" fillId="7" borderId="0" xfId="42" applyFont="1" applyFill="1" applyBorder="1" applyAlignment="1">
      <alignment/>
    </xf>
    <xf numFmtId="4" fontId="0" fillId="7" borderId="0" xfId="0" applyNumberFormat="1" applyFill="1" applyBorder="1" applyAlignment="1">
      <alignment vertical="center"/>
    </xf>
    <xf numFmtId="43" fontId="54" fillId="5" borderId="10" xfId="42" applyFont="1" applyFill="1" applyBorder="1" applyAlignment="1">
      <alignment/>
    </xf>
    <xf numFmtId="3" fontId="0" fillId="5" borderId="10" xfId="0" applyNumberFormat="1" applyFont="1" applyFill="1" applyBorder="1" applyAlignment="1">
      <alignment vertical="center"/>
    </xf>
    <xf numFmtId="0" fontId="0" fillId="5" borderId="0" xfId="0" applyFill="1" applyAlignment="1">
      <alignment/>
    </xf>
    <xf numFmtId="0" fontId="54" fillId="0" borderId="0" xfId="67" applyBorder="1">
      <alignment/>
      <protection/>
    </xf>
    <xf numFmtId="0" fontId="54" fillId="5" borderId="10" xfId="67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166" fontId="54" fillId="5" borderId="10" xfId="67" applyNumberFormat="1" applyFill="1" applyBorder="1" applyAlignment="1">
      <alignment horizontal="left"/>
      <protection/>
    </xf>
    <xf numFmtId="165" fontId="54" fillId="5" borderId="10" xfId="42" applyNumberFormat="1" applyFont="1" applyFill="1" applyBorder="1" applyAlignment="1">
      <alignment/>
    </xf>
    <xf numFmtId="49" fontId="54" fillId="5" borderId="10" xfId="67" applyNumberFormat="1" applyFill="1" applyBorder="1">
      <alignment/>
      <protection/>
    </xf>
    <xf numFmtId="165" fontId="0" fillId="5" borderId="10" xfId="42" applyNumberFormat="1" applyFont="1" applyFill="1" applyBorder="1" applyAlignment="1">
      <alignment horizontal="center" vertical="center"/>
    </xf>
    <xf numFmtId="165" fontId="0" fillId="5" borderId="10" xfId="42" applyNumberFormat="1" applyFont="1" applyFill="1" applyBorder="1" applyAlignment="1">
      <alignment horizontal="center" vertical="center" wrapText="1"/>
    </xf>
    <xf numFmtId="165" fontId="0" fillId="5" borderId="10" xfId="42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165" fontId="54" fillId="5" borderId="0" xfId="42" applyNumberFormat="1" applyFont="1" applyFill="1" applyAlignment="1">
      <alignment/>
    </xf>
    <xf numFmtId="43" fontId="0" fillId="5" borderId="10" xfId="42" applyFont="1" applyFill="1" applyBorder="1" applyAlignment="1">
      <alignment/>
    </xf>
    <xf numFmtId="43" fontId="0" fillId="7" borderId="10" xfId="42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3" fontId="0" fillId="5" borderId="10" xfId="0" applyNumberForma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43" fontId="54" fillId="5" borderId="0" xfId="42" applyFont="1" applyFill="1" applyAlignment="1">
      <alignment/>
    </xf>
    <xf numFmtId="43" fontId="0" fillId="5" borderId="10" xfId="42" applyFont="1" applyFill="1" applyBorder="1" applyAlignment="1">
      <alignment vertical="center"/>
    </xf>
    <xf numFmtId="43" fontId="54" fillId="5" borderId="0" xfId="47" applyFont="1" applyFill="1" applyAlignment="1">
      <alignment/>
    </xf>
    <xf numFmtId="165" fontId="0" fillId="7" borderId="10" xfId="42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vertical="center"/>
    </xf>
    <xf numFmtId="43" fontId="0" fillId="7" borderId="10" xfId="42" applyFont="1" applyFill="1" applyBorder="1" applyAlignment="1">
      <alignment vertical="center"/>
    </xf>
    <xf numFmtId="165" fontId="0" fillId="7" borderId="10" xfId="42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54" fillId="7" borderId="0" xfId="42" applyNumberFormat="1" applyFont="1" applyFill="1" applyAlignment="1">
      <alignment/>
    </xf>
    <xf numFmtId="0" fontId="70" fillId="0" borderId="0" xfId="68" applyFont="1" applyBorder="1" applyAlignment="1">
      <alignment horizontal="center"/>
      <protection/>
    </xf>
    <xf numFmtId="0" fontId="54" fillId="5" borderId="10" xfId="68" applyFill="1" applyBorder="1">
      <alignment/>
      <protection/>
    </xf>
    <xf numFmtId="167" fontId="0" fillId="5" borderId="10" xfId="0" applyNumberFormat="1" applyFont="1" applyFill="1" applyBorder="1" applyAlignment="1">
      <alignment horizontal="center" vertical="center"/>
    </xf>
    <xf numFmtId="166" fontId="54" fillId="5" borderId="10" xfId="68" applyNumberFormat="1" applyFill="1" applyBorder="1">
      <alignment/>
      <protection/>
    </xf>
    <xf numFmtId="165" fontId="54" fillId="5" borderId="10" xfId="47" applyNumberFormat="1" applyFont="1" applyFill="1" applyBorder="1" applyAlignment="1">
      <alignment/>
    </xf>
    <xf numFmtId="165" fontId="54" fillId="5" borderId="10" xfId="42" applyNumberFormat="1" applyFont="1" applyFill="1" applyBorder="1" applyAlignment="1">
      <alignment/>
    </xf>
    <xf numFmtId="0" fontId="70" fillId="5" borderId="10" xfId="68" applyFont="1" applyFill="1" applyBorder="1">
      <alignment/>
      <protection/>
    </xf>
    <xf numFmtId="0" fontId="70" fillId="5" borderId="10" xfId="68" applyFont="1" applyFill="1" applyBorder="1" applyAlignment="1">
      <alignment horizontal="center" wrapText="1"/>
      <protection/>
    </xf>
    <xf numFmtId="49" fontId="54" fillId="5" borderId="10" xfId="68" applyNumberFormat="1" applyFill="1" applyBorder="1">
      <alignment/>
      <protection/>
    </xf>
    <xf numFmtId="43" fontId="54" fillId="5" borderId="10" xfId="47" applyFont="1" applyFill="1" applyBorder="1" applyAlignment="1">
      <alignment/>
    </xf>
    <xf numFmtId="0" fontId="54" fillId="5" borderId="0" xfId="68" applyFill="1">
      <alignment/>
      <protection/>
    </xf>
    <xf numFmtId="166" fontId="54" fillId="5" borderId="0" xfId="68" applyNumberFormat="1" applyFill="1">
      <alignment/>
      <protection/>
    </xf>
    <xf numFmtId="169" fontId="54" fillId="5" borderId="0" xfId="42" applyNumberFormat="1" applyFont="1" applyFill="1" applyAlignment="1">
      <alignment/>
    </xf>
    <xf numFmtId="169" fontId="54" fillId="5" borderId="10" xfId="42" applyNumberFormat="1" applyFont="1" applyFill="1" applyBorder="1" applyAlignment="1">
      <alignment/>
    </xf>
    <xf numFmtId="43" fontId="54" fillId="7" borderId="10" xfId="42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0" xfId="0" applyFill="1" applyBorder="1" applyAlignment="1">
      <alignment/>
    </xf>
    <xf numFmtId="165" fontId="70" fillId="0" borderId="0" xfId="42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54" fillId="5" borderId="10" xfId="67" applyNumberFormat="1" applyFill="1" applyBorder="1">
      <alignment/>
      <protection/>
    </xf>
    <xf numFmtId="43" fontId="54" fillId="5" borderId="10" xfId="46" applyFont="1" applyFill="1" applyBorder="1" applyAlignment="1">
      <alignment/>
    </xf>
    <xf numFmtId="169" fontId="54" fillId="5" borderId="10" xfId="42" applyNumberFormat="1" applyFont="1" applyFill="1" applyBorder="1" applyAlignment="1">
      <alignment/>
    </xf>
    <xf numFmtId="0" fontId="54" fillId="0" borderId="0" xfId="67" applyFill="1">
      <alignment/>
      <protection/>
    </xf>
    <xf numFmtId="169" fontId="54" fillId="0" borderId="0" xfId="42" applyNumberFormat="1" applyFont="1" applyFill="1" applyAlignment="1">
      <alignment/>
    </xf>
    <xf numFmtId="165" fontId="54" fillId="5" borderId="10" xfId="46" applyNumberFormat="1" applyFont="1" applyFill="1" applyBorder="1" applyAlignment="1">
      <alignment/>
    </xf>
    <xf numFmtId="49" fontId="0" fillId="5" borderId="10" xfId="0" applyNumberFormat="1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43" fontId="54" fillId="7" borderId="10" xfId="42" applyFont="1" applyFill="1" applyBorder="1" applyAlignment="1">
      <alignment/>
    </xf>
    <xf numFmtId="168" fontId="0" fillId="7" borderId="10" xfId="71" applyNumberFormat="1" applyFont="1" applyFill="1" applyBorder="1" applyAlignment="1">
      <alignment horizontal="center" vertical="center"/>
    </xf>
    <xf numFmtId="165" fontId="0" fillId="7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4" fillId="7" borderId="10" xfId="67" applyFont="1" applyFill="1" applyBorder="1">
      <alignment/>
      <protection/>
    </xf>
    <xf numFmtId="0" fontId="54" fillId="6" borderId="10" xfId="67" applyFont="1" applyFill="1" applyBorder="1">
      <alignment/>
      <protection/>
    </xf>
    <xf numFmtId="165" fontId="54" fillId="7" borderId="10" xfId="42" applyNumberFormat="1" applyFont="1" applyFill="1" applyBorder="1" applyAlignment="1">
      <alignment/>
    </xf>
    <xf numFmtId="0" fontId="54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wrapText="1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168" fontId="0" fillId="5" borderId="10" xfId="62" applyNumberFormat="1" applyFill="1" applyBorder="1" applyAlignment="1">
      <alignment horizontal="center" vertical="center" wrapText="1"/>
      <protection/>
    </xf>
    <xf numFmtId="168" fontId="0" fillId="5" borderId="10" xfId="7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/>
    </xf>
    <xf numFmtId="3" fontId="0" fillId="5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54" fillId="7" borderId="0" xfId="68" applyFont="1" applyFill="1">
      <alignment/>
      <protection/>
    </xf>
    <xf numFmtId="43" fontId="54" fillId="7" borderId="0" xfId="42" applyFont="1" applyFill="1" applyAlignment="1">
      <alignment/>
    </xf>
    <xf numFmtId="0" fontId="0" fillId="7" borderId="10" xfId="0" applyFont="1" applyFill="1" applyBorder="1" applyAlignment="1">
      <alignment horizontal="left" vertical="center"/>
    </xf>
    <xf numFmtId="0" fontId="0" fillId="5" borderId="32" xfId="0" applyFill="1" applyBorder="1" applyAlignment="1">
      <alignment/>
    </xf>
    <xf numFmtId="165" fontId="0" fillId="5" borderId="0" xfId="42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168" fontId="54" fillId="0" borderId="0" xfId="68" applyNumberFormat="1">
      <alignment/>
      <protection/>
    </xf>
    <xf numFmtId="169" fontId="0" fillId="5" borderId="10" xfId="42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169" fontId="0" fillId="7" borderId="10" xfId="42" applyNumberFormat="1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wrapText="1"/>
    </xf>
    <xf numFmtId="43" fontId="54" fillId="5" borderId="10" xfId="42" applyFont="1" applyFill="1" applyBorder="1" applyAlignment="1">
      <alignment/>
    </xf>
    <xf numFmtId="0" fontId="54" fillId="5" borderId="10" xfId="68" applyFont="1" applyFill="1" applyBorder="1" applyAlignment="1">
      <alignment horizontal="center"/>
      <protection/>
    </xf>
    <xf numFmtId="165" fontId="54" fillId="7" borderId="0" xfId="42" applyNumberFormat="1" applyFont="1" applyFill="1" applyAlignment="1">
      <alignment/>
    </xf>
    <xf numFmtId="0" fontId="24" fillId="0" borderId="0" xfId="0" applyFont="1" applyAlignment="1">
      <alignment/>
    </xf>
    <xf numFmtId="0" fontId="18" fillId="33" borderId="2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center"/>
    </xf>
    <xf numFmtId="3" fontId="18" fillId="30" borderId="24" xfId="0" applyNumberFormat="1" applyFont="1" applyFill="1" applyBorder="1" applyAlignment="1">
      <alignment horizontal="center" vertical="center" wrapText="1"/>
    </xf>
    <xf numFmtId="3" fontId="18" fillId="30" borderId="14" xfId="0" applyNumberFormat="1" applyFont="1" applyFill="1" applyBorder="1" applyAlignment="1">
      <alignment horizontal="center" vertical="center" wrapText="1"/>
    </xf>
    <xf numFmtId="168" fontId="75" fillId="30" borderId="33" xfId="65" applyNumberFormat="1" applyFont="1" applyFill="1" applyBorder="1" applyAlignment="1" applyProtection="1">
      <alignment horizontal="center" vertical="center"/>
      <protection/>
    </xf>
    <xf numFmtId="168" fontId="75" fillId="30" borderId="34" xfId="65" applyNumberFormat="1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0" borderId="38" xfId="65" applyFont="1" applyFill="1" applyBorder="1" applyAlignment="1">
      <alignment horizontal="center" vertical="center"/>
      <protection/>
    </xf>
    <xf numFmtId="0" fontId="13" fillId="30" borderId="39" xfId="65" applyFont="1" applyFill="1" applyBorder="1" applyAlignment="1">
      <alignment horizontal="center" vertical="center"/>
      <protection/>
    </xf>
    <xf numFmtId="171" fontId="75" fillId="30" borderId="40" xfId="65" applyNumberFormat="1" applyFont="1" applyFill="1" applyBorder="1" applyAlignment="1" applyProtection="1">
      <alignment horizontal="center" vertical="center"/>
      <protection/>
    </xf>
    <xf numFmtId="171" fontId="75" fillId="30" borderId="41" xfId="65" applyNumberFormat="1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71" fillId="35" borderId="45" xfId="65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67" fontId="12" fillId="36" borderId="41" xfId="0" applyNumberFormat="1" applyFont="1" applyFill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170" fontId="12" fillId="30" borderId="40" xfId="42" applyNumberFormat="1" applyFont="1" applyFill="1" applyBorder="1" applyAlignment="1">
      <alignment horizontal="center" vertical="center"/>
    </xf>
    <xf numFmtId="170" fontId="0" fillId="30" borderId="41" xfId="4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0" fillId="30" borderId="49" xfId="67" applyNumberFormat="1" applyFont="1" applyFill="1" applyBorder="1" applyAlignment="1">
      <alignment vertical="center"/>
      <protection/>
    </xf>
    <xf numFmtId="3" fontId="0" fillId="30" borderId="50" xfId="67" applyNumberFormat="1" applyFont="1" applyFill="1" applyBorder="1" applyAlignment="1">
      <alignment vertical="center"/>
      <protection/>
    </xf>
    <xf numFmtId="0" fontId="0" fillId="0" borderId="51" xfId="0" applyBorder="1" applyAlignment="1">
      <alignment horizontal="center" vertical="center" wrapText="1"/>
    </xf>
    <xf numFmtId="3" fontId="12" fillId="36" borderId="4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30" borderId="53" xfId="65" applyFont="1" applyFill="1" applyBorder="1" applyAlignment="1">
      <alignment horizontal="center" vertical="center"/>
      <protection/>
    </xf>
    <xf numFmtId="3" fontId="75" fillId="30" borderId="41" xfId="65" applyNumberFormat="1" applyFont="1" applyFill="1" applyBorder="1" applyAlignment="1" applyProtection="1">
      <alignment horizontal="center" vertical="center"/>
      <protection/>
    </xf>
    <xf numFmtId="3" fontId="75" fillId="30" borderId="52" xfId="6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3" fontId="0" fillId="30" borderId="54" xfId="67" applyNumberFormat="1" applyFont="1" applyFill="1" applyBorder="1" applyAlignment="1">
      <alignment vertical="center"/>
      <protection/>
    </xf>
    <xf numFmtId="1" fontId="75" fillId="30" borderId="41" xfId="65" applyNumberFormat="1" applyFont="1" applyFill="1" applyBorder="1" applyAlignment="1" applyProtection="1">
      <alignment horizontal="center" vertical="center"/>
      <protection/>
    </xf>
    <xf numFmtId="1" fontId="75" fillId="30" borderId="52" xfId="65" applyNumberFormat="1" applyFont="1" applyFill="1" applyBorder="1" applyAlignment="1" applyProtection="1">
      <alignment horizontal="center" vertical="center"/>
      <protection/>
    </xf>
    <xf numFmtId="167" fontId="75" fillId="30" borderId="40" xfId="65" applyNumberFormat="1" applyFont="1" applyFill="1" applyBorder="1" applyAlignment="1" applyProtection="1">
      <alignment horizontal="center" vertical="center"/>
      <protection/>
    </xf>
    <xf numFmtId="167" fontId="75" fillId="30" borderId="41" xfId="65" applyNumberFormat="1" applyFont="1" applyFill="1" applyBorder="1" applyAlignment="1" applyProtection="1">
      <alignment horizontal="center" vertical="center"/>
      <protection/>
    </xf>
    <xf numFmtId="171" fontId="12" fillId="36" borderId="41" xfId="0" applyNumberFormat="1" applyFont="1" applyFill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12" fillId="30" borderId="40" xfId="42" applyNumberFormat="1" applyFont="1" applyFill="1" applyBorder="1" applyAlignment="1">
      <alignment horizontal="center" vertical="center"/>
    </xf>
    <xf numFmtId="171" fontId="0" fillId="30" borderId="41" xfId="42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168" fontId="75" fillId="30" borderId="55" xfId="65" applyNumberFormat="1" applyFont="1" applyFill="1" applyBorder="1" applyAlignment="1" applyProtection="1">
      <alignment horizontal="center" vertical="center"/>
      <protection/>
    </xf>
    <xf numFmtId="3" fontId="0" fillId="30" borderId="56" xfId="67" applyNumberFormat="1" applyFont="1" applyFill="1" applyBorder="1" applyAlignment="1">
      <alignment vertical="center"/>
      <protection/>
    </xf>
    <xf numFmtId="3" fontId="0" fillId="30" borderId="57" xfId="67" applyNumberFormat="1" applyFont="1" applyFill="1" applyBorder="1" applyAlignment="1">
      <alignment vertical="center"/>
      <protection/>
    </xf>
    <xf numFmtId="3" fontId="12" fillId="36" borderId="41" xfId="0" applyNumberFormat="1" applyFont="1" applyFill="1" applyBorder="1" applyAlignment="1">
      <alignment horizontal="left" vertical="center" wrapText="1" indent="2"/>
    </xf>
    <xf numFmtId="3" fontId="0" fillId="0" borderId="52" xfId="0" applyNumberFormat="1" applyBorder="1" applyAlignment="1">
      <alignment horizontal="left" vertical="center" wrapText="1" indent="2"/>
    </xf>
    <xf numFmtId="0" fontId="13" fillId="30" borderId="39" xfId="65" applyFont="1" applyFill="1" applyBorder="1" applyAlignment="1">
      <alignment vertical="center"/>
      <protection/>
    </xf>
    <xf numFmtId="0" fontId="13" fillId="30" borderId="53" xfId="65" applyFont="1" applyFill="1" applyBorder="1" applyAlignment="1">
      <alignment vertical="center"/>
      <protection/>
    </xf>
    <xf numFmtId="3" fontId="75" fillId="30" borderId="41" xfId="65" applyNumberFormat="1" applyFont="1" applyFill="1" applyBorder="1" applyAlignment="1" applyProtection="1">
      <alignment horizontal="left" vertical="center" indent="2"/>
      <protection/>
    </xf>
    <xf numFmtId="3" fontId="75" fillId="30" borderId="52" xfId="65" applyNumberFormat="1" applyFont="1" applyFill="1" applyBorder="1" applyAlignment="1" applyProtection="1">
      <alignment horizontal="left" vertical="center" indent="2"/>
      <protection/>
    </xf>
    <xf numFmtId="3" fontId="0" fillId="30" borderId="49" xfId="68" applyNumberFormat="1" applyFont="1" applyFill="1" applyBorder="1" applyAlignment="1">
      <alignment vertical="center"/>
      <protection/>
    </xf>
    <xf numFmtId="3" fontId="0" fillId="30" borderId="50" xfId="68" applyNumberFormat="1" applyFont="1" applyFill="1" applyBorder="1" applyAlignment="1">
      <alignment vertical="center"/>
      <protection/>
    </xf>
    <xf numFmtId="3" fontId="0" fillId="30" borderId="54" xfId="68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 wrapText="1"/>
    </xf>
    <xf numFmtId="0" fontId="70" fillId="0" borderId="0" xfId="67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70" fillId="0" borderId="0" xfId="67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65" fontId="70" fillId="0" borderId="0" xfId="42" applyNumberFormat="1" applyFont="1" applyBorder="1" applyAlignment="1">
      <alignment horizontal="center" wrapText="1"/>
    </xf>
    <xf numFmtId="165" fontId="5" fillId="0" borderId="0" xfId="42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0" fillId="0" borderId="26" xfId="67" applyFont="1" applyBorder="1" applyAlignment="1">
      <alignment horizontal="center" wrapText="1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6 2" xfId="48"/>
    <cellStyle name="Comma 8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3" xfId="64"/>
    <cellStyle name="Normal 3 2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Total Archive Volume Trend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18"/>
          <c:w val="0.89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data!$B$157:$B$167</c:f>
              <c:numCache>
                <c:ptCount val="11"/>
                <c:pt idx="0">
                  <c:v>1828.71037890625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</c:v>
                </c:pt>
                <c:pt idx="4">
                  <c:v>2167.0134765625</c:v>
                </c:pt>
                <c:pt idx="5">
                  <c:v>2806.56</c:v>
                </c:pt>
                <c:pt idx="6">
                  <c:v>3268.561468825492</c:v>
                </c:pt>
                <c:pt idx="7">
                  <c:v>3475</c:v>
                </c:pt>
                <c:pt idx="8">
                  <c:v>4159.7939453125</c:v>
                </c:pt>
                <c:pt idx="9">
                  <c:v>4179.5</c:v>
                </c:pt>
                <c:pt idx="10">
                  <c:v>5008.96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845"/>
          <c:w val="0.93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data!$D$170</c:f>
              <c:strCache>
                <c:ptCount val="1"/>
                <c:pt idx="0">
                  <c:v>CDDIS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data!$D$171:$D$181</c:f>
              <c:numCache>
                <c:ptCount val="11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</c:v>
                </c:pt>
                <c:pt idx="5">
                  <c:v>0.5045189797148022</c:v>
                </c:pt>
                <c:pt idx="6">
                  <c:v>0.4690265486725664</c:v>
                </c:pt>
                <c:pt idx="7">
                  <c:v>0.43352601156069365</c:v>
                </c:pt>
                <c:pt idx="8">
                  <c:v>0.4361111111111111</c:v>
                </c:pt>
                <c:pt idx="9">
                  <c:v>0.42523162178543594</c:v>
                </c:pt>
                <c:pt idx="10">
                  <c:v>0.43991263713937423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data!$H$237:$H$248</c:f>
              <c:numCache>
                <c:ptCount val="12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  <c:pt idx="10">
                  <c:v>14866</c:v>
                </c:pt>
                <c:pt idx="11">
                  <c:v>25193</c:v>
                </c:pt>
              </c:numCache>
            </c:numRef>
          </c:val>
        </c:ser>
        <c:ser>
          <c:idx val="1"/>
          <c:order val="1"/>
          <c:tx>
            <c:strRef>
              <c:f>data!$I$236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data!$I$237:$I$248</c:f>
              <c:numCache>
                <c:ptCount val="12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  <c:pt idx="10">
                  <c:v>96028</c:v>
                </c:pt>
                <c:pt idx="11">
                  <c:v>276196</c:v>
                </c:pt>
              </c:numCache>
            </c:numRef>
          </c:val>
        </c:ser>
        <c:ser>
          <c:idx val="2"/>
          <c:order val="2"/>
          <c:tx>
            <c:strRef>
              <c:f>data!$J$236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data!$J$237:$J$248</c:f>
              <c:numCache>
                <c:ptCount val="12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  <c:pt idx="10">
                  <c:v>11549</c:v>
                </c:pt>
                <c:pt idx="11">
                  <c:v>19688</c:v>
                </c:pt>
              </c:numCache>
            </c:numRef>
          </c:val>
        </c:ser>
        <c:overlap val="-27"/>
        <c:gapWidth val="219"/>
        <c:axId val="63422405"/>
        <c:axId val="33930734"/>
      </c:bar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140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Product Distribution Trend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Summary_data!$F$21:$F$32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37.05806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144.293748</c:v>
                </c:pt>
                <c:pt idx="8">
                  <c:v>172.036391</c:v>
                </c:pt>
                <c:pt idx="9">
                  <c:v>316.508622</c:v>
                </c:pt>
                <c:pt idx="10">
                  <c:v>384.034918</c:v>
                </c:pt>
                <c:pt idx="11">
                  <c:v>348.314922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Total Archive Volume Trend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1775"/>
          <c:w val="0.893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data!$E$157:$E$167</c:f>
              <c:numCache>
                <c:ptCount val="11"/>
                <c:pt idx="0">
                  <c:v>219.8872294921875</c:v>
                </c:pt>
                <c:pt idx="1">
                  <c:v>317.831</c:v>
                </c:pt>
                <c:pt idx="2">
                  <c:v>381.539158203125</c:v>
                </c:pt>
                <c:pt idx="3">
                  <c:v>422.22720703125</c:v>
                </c:pt>
                <c:pt idx="4">
                  <c:v>515.71818359375</c:v>
                </c:pt>
                <c:pt idx="5">
                  <c:v>668.5562109375</c:v>
                </c:pt>
                <c:pt idx="6">
                  <c:v>775.3091868509467</c:v>
                </c:pt>
                <c:pt idx="7">
                  <c:v>1161.837822265625</c:v>
                </c:pt>
                <c:pt idx="8">
                  <c:v>1425.640654296875</c:v>
                </c:pt>
                <c:pt idx="9">
                  <c:v>1682.993828125</c:v>
                </c:pt>
                <c:pt idx="10">
                  <c:v>2098.712905831621</c:v>
                </c:pt>
              </c:numCache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5"/>
          <c:w val="0.919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data!$E$170</c:f>
              <c:strCache>
                <c:ptCount val="1"/>
                <c:pt idx="0">
                  <c:v>GES DISC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data!$E$171:$E$181</c:f>
              <c:numCache>
                <c:ptCount val="11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0.243128212047247</c:v>
                </c:pt>
                <c:pt idx="3">
                  <c:v>0.2570786226976624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0.3554892238482922</c:v>
                </c:pt>
                <c:pt idx="8">
                  <c:v>0.36126485905789485</c:v>
                </c:pt>
                <c:pt idx="9">
                  <c:v>0.38022714452891504</c:v>
                </c:pt>
                <c:pt idx="10">
                  <c:v>0.39628506200495184</c:v>
                </c:pt>
              </c:numCache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85"/>
          <c:w val="0.94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data!$K$237:$K$248</c:f>
              <c:numCache>
                <c:ptCount val="12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  <c:pt idx="10">
                  <c:v>190206</c:v>
                </c:pt>
                <c:pt idx="11">
                  <c:v>150117</c:v>
                </c:pt>
              </c:numCache>
            </c:numRef>
          </c:val>
        </c:ser>
        <c:ser>
          <c:idx val="1"/>
          <c:order val="1"/>
          <c:tx>
            <c:strRef>
              <c:f>data!$L$236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data!$L$237:$L$248</c:f>
              <c:numCache>
                <c:ptCount val="12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  <c:pt idx="10">
                  <c:v>1902393</c:v>
                </c:pt>
                <c:pt idx="11">
                  <c:v>2584212</c:v>
                </c:pt>
              </c:numCache>
            </c:numRef>
          </c:val>
        </c:ser>
        <c:ser>
          <c:idx val="2"/>
          <c:order val="2"/>
          <c:tx>
            <c:strRef>
              <c:f>data!$M$236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data!$M$237:$M$248</c:f>
              <c:numCache>
                <c:ptCount val="12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  <c:pt idx="10">
                  <c:v>118779</c:v>
                </c:pt>
                <c:pt idx="11">
                  <c:v>93299</c:v>
                </c:pt>
              </c:numCache>
            </c:numRef>
          </c:val>
        </c:ser>
        <c:overlap val="-27"/>
        <c:gapWidth val="219"/>
        <c:axId val="15220461"/>
        <c:axId val="2766422"/>
      </c:bar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1545"/>
          <c:w val="0.442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GESDISC Multi-Year Product Distribution Trend</a:t>
            </a:r>
          </a:p>
        </c:rich>
      </c:tx>
      <c:layout>
        <c:manualLayout>
          <c:xMode val="factor"/>
          <c:yMode val="factor"/>
          <c:x val="0.045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18"/>
          <c:w val="0.9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Summary_data!$G$21:$G$32</c:f>
              <c:numCache>
                <c:ptCount val="12"/>
                <c:pt idx="0">
                  <c:v>22.91734</c:v>
                </c:pt>
                <c:pt idx="1">
                  <c:v>38.74758</c:v>
                </c:pt>
                <c:pt idx="2">
                  <c:v>54.500664</c:v>
                </c:pt>
                <c:pt idx="3">
                  <c:v>84.223158</c:v>
                </c:pt>
                <c:pt idx="4">
                  <c:v>133.841386</c:v>
                </c:pt>
                <c:pt idx="5">
                  <c:v>168.676747</c:v>
                </c:pt>
                <c:pt idx="6">
                  <c:v>209.906859</c:v>
                </c:pt>
                <c:pt idx="7">
                  <c:v>283.255958</c:v>
                </c:pt>
                <c:pt idx="8">
                  <c:v>405.060654</c:v>
                </c:pt>
                <c:pt idx="9">
                  <c:v>409.163992</c:v>
                </c:pt>
                <c:pt idx="10">
                  <c:v>257.503303</c:v>
                </c:pt>
                <c:pt idx="11">
                  <c:v>297.731084</c:v>
                </c:pt>
              </c:numCache>
            </c:numRef>
          </c:val>
        </c:ser>
        <c:axId val="24897799"/>
        <c:axId val="22753600"/>
      </c:barChart>
      <c:cat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Total Archive Volume Trend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475"/>
          <c:w val="0.864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data!$F$157:$F$167</c:f>
              <c:numCache>
                <c:ptCount val="11"/>
                <c:pt idx="0">
                  <c:v>3.435041015625</c:v>
                </c:pt>
                <c:pt idx="1">
                  <c:v>5.333</c:v>
                </c:pt>
                <c:pt idx="2">
                  <c:v>6.824234375</c:v>
                </c:pt>
                <c:pt idx="3">
                  <c:v>6.423197265625</c:v>
                </c:pt>
                <c:pt idx="4">
                  <c:v>7.087626953125</c:v>
                </c:pt>
                <c:pt idx="5">
                  <c:v>9.537060546875</c:v>
                </c:pt>
                <c:pt idx="6">
                  <c:v>8.80790553543101</c:v>
                </c:pt>
                <c:pt idx="7">
                  <c:v>9.89509765625</c:v>
                </c:pt>
                <c:pt idx="8">
                  <c:v>13.584150390625</c:v>
                </c:pt>
                <c:pt idx="9">
                  <c:v>16.09703125</c:v>
                </c:pt>
                <c:pt idx="10">
                  <c:v>27.6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45"/>
          <c:w val="0.940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data!$F$170</c:f>
              <c:strCache>
                <c:ptCount val="1"/>
                <c:pt idx="0">
                  <c:v>GHRC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data!$F$171:$F$181</c:f>
              <c:numCache>
                <c:ptCount val="11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</c:v>
                </c:pt>
                <c:pt idx="6">
                  <c:v>0.2142078488372093</c:v>
                </c:pt>
                <c:pt idx="7">
                  <c:v>0.1959266802443992</c:v>
                </c:pt>
                <c:pt idx="8">
                  <c:v>0.10375166002656043</c:v>
                </c:pt>
                <c:pt idx="9">
                  <c:v>0.1526259242874297</c:v>
                </c:pt>
                <c:pt idx="10">
                  <c:v>0.2571825205214872</c:v>
                </c:pt>
              </c:numCache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785"/>
          <c:w val="0.923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data!$N$237:$N$248</c:f>
              <c:numCache>
                <c:ptCount val="12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  <c:pt idx="10">
                  <c:v>23160</c:v>
                </c:pt>
                <c:pt idx="11">
                  <c:v>24485</c:v>
                </c:pt>
              </c:numCache>
            </c:numRef>
          </c:val>
        </c:ser>
        <c:ser>
          <c:idx val="1"/>
          <c:order val="1"/>
          <c:tx>
            <c:strRef>
              <c:f>data!$O$236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data!$O$237:$O$248</c:f>
              <c:numCache>
                <c:ptCount val="12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  <c:pt idx="10">
                  <c:v>392057</c:v>
                </c:pt>
                <c:pt idx="11">
                  <c:v>529075</c:v>
                </c:pt>
              </c:numCache>
            </c:numRef>
          </c:val>
        </c:ser>
        <c:ser>
          <c:idx val="2"/>
          <c:order val="2"/>
          <c:tx>
            <c:strRef>
              <c:f>data!$P$236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data!$P$237:$P$248</c:f>
              <c:numCache>
                <c:ptCount val="12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  <c:pt idx="10">
                  <c:v>15823</c:v>
                </c:pt>
                <c:pt idx="11">
                  <c:v>16568</c:v>
                </c:pt>
              </c:numCache>
            </c:numRef>
          </c:val>
        </c:ser>
        <c:overlap val="-27"/>
        <c:gapWidth val="219"/>
        <c:axId val="57876501"/>
        <c:axId val="51126462"/>
      </c:barChart>
      <c:catAx>
        <c:axId val="578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154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data!$B$170</c:f>
              <c:strCache>
                <c:ptCount val="1"/>
                <c:pt idx="0">
                  <c:v>ASDC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data!$B$171:$B$181</c:f>
              <c:numCache>
                <c:ptCount val="11"/>
                <c:pt idx="0">
                  <c:v>0.002657614168405535</c:v>
                </c:pt>
                <c:pt idx="1">
                  <c:v>0.0030116919157454165</c:v>
                </c:pt>
                <c:pt idx="2">
                  <c:v>0.004236534700156937</c:v>
                </c:pt>
                <c:pt idx="3">
                  <c:v>0.001804059133049361</c:v>
                </c:pt>
                <c:pt idx="4">
                  <c:v>0.005335010463994101</c:v>
                </c:pt>
                <c:pt idx="5">
                  <c:v>0.007220010069110714</c:v>
                </c:pt>
                <c:pt idx="6">
                  <c:v>0.01308025876164072</c:v>
                </c:pt>
                <c:pt idx="7">
                  <c:v>0.009306355150634398</c:v>
                </c:pt>
                <c:pt idx="8">
                  <c:v>0.008919620594812739</c:v>
                </c:pt>
                <c:pt idx="9">
                  <c:v>0.008712842290232831</c:v>
                </c:pt>
                <c:pt idx="10">
                  <c:v>0.0071431478692661485</c:v>
                </c:pt>
              </c:numCache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5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GHRC Multi-Year Product Distribution Trend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1475"/>
          <c:w val="0.919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Summary_data!$H$21:$H$32</c:f>
              <c:numCache>
                <c:ptCount val="12"/>
                <c:pt idx="0">
                  <c:v>0</c:v>
                </c:pt>
                <c:pt idx="1">
                  <c:v>10.177527</c:v>
                </c:pt>
                <c:pt idx="2">
                  <c:v>5.677475</c:v>
                </c:pt>
                <c:pt idx="3">
                  <c:v>0.659405</c:v>
                </c:pt>
                <c:pt idx="4">
                  <c:v>0.720133</c:v>
                </c:pt>
                <c:pt idx="5">
                  <c:v>0.791085</c:v>
                </c:pt>
                <c:pt idx="6">
                  <c:v>4.434948</c:v>
                </c:pt>
                <c:pt idx="7">
                  <c:v>4.498352</c:v>
                </c:pt>
                <c:pt idx="8">
                  <c:v>6.384325</c:v>
                </c:pt>
                <c:pt idx="9">
                  <c:v>3.932989</c:v>
                </c:pt>
                <c:pt idx="10">
                  <c:v>6.87018</c:v>
                </c:pt>
                <c:pt idx="11">
                  <c:v>7.114441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8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Total Archive Volume Trend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1475"/>
          <c:w val="0.896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data!$G$157:$G$167</c:f>
              <c:numCache>
                <c:ptCount val="11"/>
                <c:pt idx="0">
                  <c:v>1761.525625</c:v>
                </c:pt>
                <c:pt idx="1">
                  <c:v>759.511</c:v>
                </c:pt>
                <c:pt idx="2">
                  <c:v>822.252681640625</c:v>
                </c:pt>
                <c:pt idx="3">
                  <c:v>898.9502607421875</c:v>
                </c:pt>
                <c:pt idx="4">
                  <c:v>954.17966796875</c:v>
                </c:pt>
                <c:pt idx="5">
                  <c:v>1066.3169921875</c:v>
                </c:pt>
                <c:pt idx="6">
                  <c:v>1131.1058336851804</c:v>
                </c:pt>
                <c:pt idx="7">
                  <c:v>2468.4033984375</c:v>
                </c:pt>
                <c:pt idx="8">
                  <c:v>2933.262939453125</c:v>
                </c:pt>
                <c:pt idx="9">
                  <c:v>3104.99</c:v>
                </c:pt>
                <c:pt idx="10">
                  <c:v>3005.56</c:v>
                </c:pt>
              </c:numCache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425"/>
          <c:w val="0.919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data!$G$170</c:f>
              <c:strCache>
                <c:ptCount val="1"/>
                <c:pt idx="0">
                  <c:v>LP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data!$G$171:$G$181</c:f>
              <c:numCache>
                <c:ptCount val="11"/>
                <c:pt idx="0">
                  <c:v>0.0364664848186737</c:v>
                </c:pt>
                <c:pt idx="1">
                  <c:v>0.08033923557389261</c:v>
                </c:pt>
                <c:pt idx="2">
                  <c:v>0.13444174335822193</c:v>
                </c:pt>
                <c:pt idx="3">
                  <c:v>0.037928462661984526</c:v>
                </c:pt>
                <c:pt idx="4">
                  <c:v>0.04572503172609693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0.24775192716871883</c:v>
                </c:pt>
                <c:pt idx="9">
                  <c:v>0.32284028536173714</c:v>
                </c:pt>
                <c:pt idx="10">
                  <c:v>0.2964641294638491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106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785"/>
          <c:w val="0.93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data!$Q$237:$Q$248</c:f>
              <c:numCache>
                <c:ptCount val="12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  <c:pt idx="10">
                  <c:v>195153</c:v>
                </c:pt>
                <c:pt idx="11">
                  <c:v>209718</c:v>
                </c:pt>
              </c:numCache>
            </c:numRef>
          </c:val>
        </c:ser>
        <c:ser>
          <c:idx val="1"/>
          <c:order val="1"/>
          <c:tx>
            <c:strRef>
              <c:f>data!$R$236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data!$R$237:$R$248</c:f>
              <c:numCache>
                <c:ptCount val="12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  <c:pt idx="10">
                  <c:v>1059513</c:v>
                </c:pt>
                <c:pt idx="11">
                  <c:v>1158426</c:v>
                </c:pt>
              </c:numCache>
            </c:numRef>
          </c:val>
        </c:ser>
        <c:ser>
          <c:idx val="2"/>
          <c:order val="2"/>
          <c:tx>
            <c:strRef>
              <c:f>data!$S$236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data!$S$237:$S$248</c:f>
              <c:numCache>
                <c:ptCount val="12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  <c:pt idx="10">
                  <c:v>141014</c:v>
                </c:pt>
                <c:pt idx="11">
                  <c:v>153371</c:v>
                </c:pt>
              </c:numCache>
            </c:numRef>
          </c:val>
        </c:ser>
        <c:overlap val="-27"/>
        <c:gapWidth val="219"/>
        <c:axId val="38724413"/>
        <c:axId val="12975398"/>
      </c:barChart>
      <c:catAx>
        <c:axId val="3872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4325"/>
          <c:w val="0.441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LPDAAC Multi-Year Product Distribution Trend</a:t>
            </a:r>
          </a:p>
        </c:rich>
      </c:tx>
      <c:layout>
        <c:manualLayout>
          <c:xMode val="factor"/>
          <c:yMode val="factor"/>
          <c:x val="0.043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1475"/>
          <c:w val="0.933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Summary_data!$I$21:$I$32</c:f>
              <c:numCache>
                <c:ptCount val="12"/>
                <c:pt idx="0">
                  <c:v>0.148617</c:v>
                </c:pt>
                <c:pt idx="1">
                  <c:v>16.757476</c:v>
                </c:pt>
                <c:pt idx="2">
                  <c:v>38.827043</c:v>
                </c:pt>
                <c:pt idx="3">
                  <c:v>51.945273</c:v>
                </c:pt>
                <c:pt idx="4">
                  <c:v>63.965963</c:v>
                </c:pt>
                <c:pt idx="5">
                  <c:v>70.588599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163.276446</c:v>
                </c:pt>
                <c:pt idx="9">
                  <c:v>174.590976</c:v>
                </c:pt>
                <c:pt idx="10">
                  <c:v>208.186137</c:v>
                </c:pt>
                <c:pt idx="11">
                  <c:v>249.383788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Total Archive Volume Trend</a:t>
            </a:r>
          </a:p>
        </c:rich>
      </c:tx>
      <c:layout>
        <c:manualLayout>
          <c:xMode val="factor"/>
          <c:yMode val="factor"/>
          <c:x val="0.07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775"/>
          <c:w val="0.89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data!$H$157:$H$167</c:f>
              <c:numCache>
                <c:ptCount val="11"/>
                <c:pt idx="0">
                  <c:v>180.68916015625</c:v>
                </c:pt>
                <c:pt idx="1">
                  <c:v>392.526</c:v>
                </c:pt>
                <c:pt idx="2">
                  <c:v>768.3358173828125</c:v>
                </c:pt>
                <c:pt idx="3">
                  <c:v>882.0893359375</c:v>
                </c:pt>
                <c:pt idx="4">
                  <c:v>1159.65796875</c:v>
                </c:pt>
                <c:pt idx="5">
                  <c:v>1543.923642578125</c:v>
                </c:pt>
                <c:pt idx="6">
                  <c:v>2298.74383585837</c:v>
                </c:pt>
                <c:pt idx="7">
                  <c:v>5265.469599609375</c:v>
                </c:pt>
                <c:pt idx="8">
                  <c:v>6075.106201171875</c:v>
                </c:pt>
                <c:pt idx="9">
                  <c:v>5817.73478515625</c:v>
                </c:pt>
                <c:pt idx="10">
                  <c:v>5239.006133378593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3"/>
          <c:w val="0.9342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data!$H$170</c:f>
              <c:strCache>
                <c:ptCount val="1"/>
                <c:pt idx="0">
                  <c:v>LAADS 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data!$H$171:$H$181</c:f>
              <c:numCache>
                <c:ptCount val="11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</c:v>
                </c:pt>
                <c:pt idx="3">
                  <c:v>0.04338026273738036</c:v>
                </c:pt>
                <c:pt idx="4">
                  <c:v>0.043854362508434164</c:v>
                </c:pt>
                <c:pt idx="5">
                  <c:v>0.0580265320114486</c:v>
                </c:pt>
                <c:pt idx="6">
                  <c:v>0.08179106706932847</c:v>
                </c:pt>
                <c:pt idx="7">
                  <c:v>0.07425815002237598</c:v>
                </c:pt>
                <c:pt idx="8">
                  <c:v>0.049782989069920694</c:v>
                </c:pt>
                <c:pt idx="9">
                  <c:v>0.04467244154122882</c:v>
                </c:pt>
                <c:pt idx="10">
                  <c:v>0.017952873706520385</c:v>
                </c:pt>
              </c:numCache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3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7775"/>
          <c:w val="0.929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data!$T$237:$T$248</c:f>
              <c:numCache>
                <c:ptCount val="12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  <c:pt idx="10">
                  <c:v>301594</c:v>
                </c:pt>
                <c:pt idx="11">
                  <c:v>217721</c:v>
                </c:pt>
              </c:numCache>
            </c:numRef>
          </c:val>
        </c:ser>
        <c:ser>
          <c:idx val="1"/>
          <c:order val="1"/>
          <c:tx>
            <c:strRef>
              <c:f>data!$U$236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data!$U$237:$U$248</c:f>
              <c:numCache>
                <c:ptCount val="12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  <c:pt idx="10">
                  <c:v>3294341</c:v>
                </c:pt>
                <c:pt idx="11">
                  <c:v>3095213</c:v>
                </c:pt>
              </c:numCache>
            </c:numRef>
          </c:val>
        </c:ser>
        <c:ser>
          <c:idx val="2"/>
          <c:order val="2"/>
          <c:tx>
            <c:strRef>
              <c:f>data!$V$236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data!$V$237:$V$248</c:f>
              <c:numCache>
                <c:ptCount val="12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  <c:pt idx="10">
                  <c:v>169008</c:v>
                </c:pt>
                <c:pt idx="11">
                  <c:v>136357</c:v>
                </c:pt>
              </c:numCache>
            </c:numRef>
          </c:val>
        </c:ser>
        <c:overlap val="-27"/>
        <c:gapWidth val="219"/>
        <c:axId val="58853477"/>
        <c:axId val="59919246"/>
      </c:bar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53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25"/>
          <c:y val="0.1335"/>
          <c:w val="0.44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LAADS DAAC Multi-Year Product Distribution Trend</a:t>
            </a:r>
          </a:p>
        </c:rich>
      </c:tx>
      <c:layout>
        <c:manualLayout>
          <c:xMode val="factor"/>
          <c:yMode val="factor"/>
          <c:x val="0.07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825"/>
          <c:w val="0.93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LAADS 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Summary_data!$J$21:$J$32</c:f>
              <c:numCache>
                <c:ptCount val="12"/>
                <c:pt idx="0">
                  <c:v>33.570419</c:v>
                </c:pt>
                <c:pt idx="1">
                  <c:v>47.73614</c:v>
                </c:pt>
                <c:pt idx="2">
                  <c:v>47.205446</c:v>
                </c:pt>
                <c:pt idx="3">
                  <c:v>79.756398</c:v>
                </c:pt>
                <c:pt idx="4">
                  <c:v>98.766037</c:v>
                </c:pt>
                <c:pt idx="5">
                  <c:v>95.24611</c:v>
                </c:pt>
                <c:pt idx="6">
                  <c:v>135.286498</c:v>
                </c:pt>
                <c:pt idx="7">
                  <c:v>196.137679</c:v>
                </c:pt>
                <c:pt idx="8">
                  <c:v>360.644547</c:v>
                </c:pt>
                <c:pt idx="9">
                  <c:v>230.713118</c:v>
                </c:pt>
                <c:pt idx="10">
                  <c:v>107.761906</c:v>
                </c:pt>
                <c:pt idx="11">
                  <c:v>239.952279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Total Archive Volume Trend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1775"/>
          <c:w val="0.877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data!$I$157:$I$167</c:f>
              <c:numCache>
                <c:ptCount val="11"/>
                <c:pt idx="0">
                  <c:v>125.360509765625</c:v>
                </c:pt>
                <c:pt idx="1">
                  <c:v>63.571999999999996</c:v>
                </c:pt>
                <c:pt idx="2">
                  <c:v>66.0579814453125</c:v>
                </c:pt>
                <c:pt idx="3">
                  <c:v>64.4314765625</c:v>
                </c:pt>
                <c:pt idx="4">
                  <c:v>63.890546875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</c:v>
                </c:pt>
                <c:pt idx="9">
                  <c:v>428.189697265625</c:v>
                </c:pt>
                <c:pt idx="10">
                  <c:v>619.31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85"/>
          <c:w val="0.932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data!$B$237:$B$248</c:f>
              <c:numCache>
                <c:ptCount val="12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  <c:pt idx="10">
                  <c:v>58238</c:v>
                </c:pt>
                <c:pt idx="11">
                  <c:v>67042</c:v>
                </c:pt>
              </c:numCache>
            </c:numRef>
          </c:val>
        </c:ser>
        <c:ser>
          <c:idx val="1"/>
          <c:order val="1"/>
          <c:tx>
            <c:strRef>
              <c:f>data!$C$236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data!$C$237:$C$248</c:f>
              <c:numCache>
                <c:ptCount val="12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  <c:pt idx="10">
                  <c:v>551711</c:v>
                </c:pt>
                <c:pt idx="11">
                  <c:v>818083</c:v>
                </c:pt>
              </c:numCache>
            </c:numRef>
          </c:val>
        </c:ser>
        <c:ser>
          <c:idx val="2"/>
          <c:order val="2"/>
          <c:tx>
            <c:strRef>
              <c:f>data!$D$236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data!$D$237:$D$248</c:f>
              <c:numCache>
                <c:ptCount val="12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  <c:pt idx="10">
                  <c:v>40974</c:v>
                </c:pt>
                <c:pt idx="11">
                  <c:v>49138</c:v>
                </c:pt>
              </c:numCache>
            </c:numRef>
          </c:val>
        </c:ser>
        <c:overlap val="-27"/>
        <c:gapWidth val="219"/>
        <c:axId val="30140277"/>
        <c:axId val="2827038"/>
      </c:bar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25"/>
          <c:y val="0.15725"/>
          <c:w val="0.439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845"/>
          <c:w val="0.937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data!$I$170</c:f>
              <c:strCache>
                <c:ptCount val="1"/>
                <c:pt idx="0">
                  <c:v>NSIDC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data!$I$171:$I$181</c:f>
              <c:numCache>
                <c:ptCount val="11"/>
                <c:pt idx="0">
                  <c:v>0.022101237652255103</c:v>
                </c:pt>
                <c:pt idx="1">
                  <c:v>0.0039931447566698966</c:v>
                </c:pt>
                <c:pt idx="2">
                  <c:v>0.006790692817737248</c:v>
                </c:pt>
                <c:pt idx="3">
                  <c:v>0.0014999808587129399</c:v>
                </c:pt>
                <c:pt idx="4">
                  <c:v>0.019530765487696666</c:v>
                </c:pt>
                <c:pt idx="5">
                  <c:v>0.00762609094337268</c:v>
                </c:pt>
                <c:pt idx="6">
                  <c:v>0.022872950029919167</c:v>
                </c:pt>
                <c:pt idx="7">
                  <c:v>0.022209925097333938</c:v>
                </c:pt>
                <c:pt idx="8">
                  <c:v>0.021062864549578744</c:v>
                </c:pt>
                <c:pt idx="9">
                  <c:v>0.02854713716836561</c:v>
                </c:pt>
                <c:pt idx="10">
                  <c:v>0.016933669693787727</c:v>
                </c:pt>
              </c:numCache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data!$W$237:$W$248</c:f>
              <c:numCache>
                <c:ptCount val="12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  <c:pt idx="10">
                  <c:v>857579</c:v>
                </c:pt>
                <c:pt idx="11">
                  <c:v>798789</c:v>
                </c:pt>
              </c:numCache>
            </c:numRef>
          </c:val>
        </c:ser>
        <c:ser>
          <c:idx val="1"/>
          <c:order val="1"/>
          <c:tx>
            <c:strRef>
              <c:f>data!$X$236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data!$X$237:$X$248</c:f>
              <c:numCache>
                <c:ptCount val="12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  <c:pt idx="10">
                  <c:v>4071275</c:v>
                </c:pt>
                <c:pt idx="11">
                  <c:v>3813884</c:v>
                </c:pt>
              </c:numCache>
            </c:numRef>
          </c:val>
        </c:ser>
        <c:ser>
          <c:idx val="2"/>
          <c:order val="2"/>
          <c:tx>
            <c:strRef>
              <c:f>data!$Y$236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data!$Y$237:$Y$248</c:f>
              <c:numCache>
                <c:ptCount val="12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  <c:pt idx="10">
                  <c:v>572807</c:v>
                </c:pt>
                <c:pt idx="11">
                  <c:v>541879</c:v>
                </c:pt>
              </c:numCache>
            </c:numRef>
          </c:val>
        </c:ser>
        <c:overlap val="-27"/>
        <c:gapWidth val="219"/>
        <c:axId val="3346317"/>
        <c:axId val="30116854"/>
      </c:barChart>
      <c:cat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NSIDC Multi-Year Product Distribution Trend</a:t>
            </a:r>
          </a:p>
        </c:rich>
      </c:tx>
      <c:layout>
        <c:manualLayout>
          <c:xMode val="factor"/>
          <c:yMode val="factor"/>
          <c:x val="0.03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775"/>
          <c:w val="0.932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Summary_data!$K$21:$K$32</c:f>
              <c:numCache>
                <c:ptCount val="12"/>
                <c:pt idx="0">
                  <c:v>0.642341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22.897913</c:v>
                </c:pt>
                <c:pt idx="4">
                  <c:v>20.180632</c:v>
                </c:pt>
                <c:pt idx="5">
                  <c:v>24.339347</c:v>
                </c:pt>
                <c:pt idx="6">
                  <c:v>38.223085</c:v>
                </c:pt>
                <c:pt idx="7">
                  <c:v>67.730322</c:v>
                </c:pt>
                <c:pt idx="8">
                  <c:v>70.647366</c:v>
                </c:pt>
                <c:pt idx="9">
                  <c:v>82.185432</c:v>
                </c:pt>
                <c:pt idx="10">
                  <c:v>102.272879</c:v>
                </c:pt>
                <c:pt idx="11">
                  <c:v>157.131425</c:v>
                </c:pt>
              </c:numCache>
            </c:numRef>
          </c:val>
        </c:ser>
        <c:axId val="2616231"/>
        <c:axId val="23546080"/>
      </c:bar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6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 Multi-Year Total Archive Volume Trend</a:t>
            </a:r>
          </a:p>
        </c:rich>
      </c:tx>
      <c:layout>
        <c:manualLayout>
          <c:xMode val="factor"/>
          <c:yMode val="factor"/>
          <c:x val="0.06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1825"/>
          <c:w val="0.9155"/>
          <c:h val="0.859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data!$J$157:$J$167</c:f>
              <c:numCache>
                <c:ptCount val="11"/>
                <c:pt idx="9">
                  <c:v>3445.943410873413</c:v>
                </c:pt>
                <c:pt idx="10">
                  <c:v>4931.584</c:v>
                </c:pt>
              </c:numCache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45"/>
          <c:w val="0.93625"/>
          <c:h val="0.89475"/>
        </c:manualLayout>
      </c:layout>
      <c:lineChart>
        <c:grouping val="standard"/>
        <c:varyColors val="0"/>
        <c:ser>
          <c:idx val="8"/>
          <c:order val="0"/>
          <c:tx>
            <c:strRef>
              <c:f>data!$J$170</c:f>
              <c:strCache>
                <c:ptCount val="1"/>
                <c:pt idx="0">
                  <c:v>OB.DAAC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data!$J$171:$J$180</c:f>
              <c:numCache>
                <c:ptCount val="10"/>
              </c:numCache>
            </c:numRef>
          </c:val>
          <c:smooth val="0"/>
        </c:ser>
        <c:marker val="1"/>
        <c:axId val="52332091"/>
        <c:axId val="1226772"/>
      </c:lineChart>
      <c:catAx>
        <c:axId val="523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  <c:max val="0.02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At val="1"/>
        <c:crossBetween val="between"/>
        <c:dispUnits/>
        <c:majorUnit val="0.00500000000000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785"/>
          <c:w val="0.8645"/>
          <c:h val="0.98825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data!$AJ$236:$AJ$248</c:f>
              <c:numCache>
                <c:ptCount val="13"/>
              </c:numCache>
            </c:numRef>
          </c:val>
        </c:ser>
        <c:ser>
          <c:idx val="35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data!$AK$236:$AK$248</c:f>
              <c:numCache>
                <c:ptCount val="13"/>
              </c:numCache>
            </c:numRef>
          </c:val>
        </c:ser>
        <c:ser>
          <c:idx val="36"/>
          <c:order val="2"/>
          <c:spPr>
            <a:solidFill>
              <a:srgbClr val="C7D7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data!$A$236:$A$248</c:f>
              <c:strCache>
                <c:ptCount val="13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  <c:pt idx="12">
                  <c:v>FY18</c:v>
                </c:pt>
              </c:strCache>
            </c:strRef>
          </c:cat>
          <c:val>
            <c:numRef>
              <c:f>data!$AL$236:$AL$248</c:f>
              <c:numCache>
                <c:ptCount val="13"/>
              </c:numCache>
            </c:numRef>
          </c:val>
        </c:ser>
        <c:overlap val="-27"/>
        <c:gapWidth val="219"/>
        <c:axId val="11040949"/>
        <c:axId val="32259678"/>
      </c:barChart>
      <c:catAx>
        <c:axId val="110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OB.DAAC Multi-Year Product Distribution Trend</a:t>
            </a:r>
          </a:p>
        </c:rich>
      </c:tx>
      <c:layout>
        <c:manualLayout>
          <c:xMode val="factor"/>
          <c:yMode val="factor"/>
          <c:x val="0.052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Summary_data!$L$21:$L$32</c:f>
              <c:numCache>
                <c:ptCount val="12"/>
                <c:pt idx="0">
                  <c:v>0</c:v>
                </c:pt>
                <c:pt idx="1">
                  <c:v>10.672894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</c:v>
                </c:pt>
                <c:pt idx="6">
                  <c:v>18.29376</c:v>
                </c:pt>
                <c:pt idx="7">
                  <c:v>27.464272</c:v>
                </c:pt>
                <c:pt idx="8">
                  <c:v>56.956518</c:v>
                </c:pt>
                <c:pt idx="9">
                  <c:v>65.432243</c:v>
                </c:pt>
                <c:pt idx="10">
                  <c:v>47.917738</c:v>
                </c:pt>
                <c:pt idx="11">
                  <c:v>55.382038</c:v>
                </c:pt>
              </c:numCache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0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Total Archive Volume Trend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775"/>
          <c:w val="0.878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data!$K$157:$K$167</c:f>
              <c:numCache>
                <c:ptCount val="11"/>
                <c:pt idx="1">
                  <c:v>0.387</c:v>
                </c:pt>
                <c:pt idx="2">
                  <c:v>0.4101905822753906</c:v>
                </c:pt>
                <c:pt idx="3">
                  <c:v>0.0460732421875</c:v>
                </c:pt>
                <c:pt idx="4">
                  <c:v>0.615234375</c:v>
                </c:pt>
                <c:pt idx="5">
                  <c:v>143.2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  <c:pt idx="10">
                  <c:v>203.05</c:v>
                </c:pt>
              </c:numCache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02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845"/>
          <c:w val="0.929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data!$K$170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data!$K$171:$K$181</c:f>
              <c:numCache>
                <c:ptCount val="11"/>
                <c:pt idx="0">
                  <c:v>0.2038859881879654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0.3850760570128159</c:v>
                </c:pt>
                <c:pt idx="4">
                  <c:v>0.35461946373889014</c:v>
                </c:pt>
                <c:pt idx="5">
                  <c:v>0.3864161159327972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0.24058648533786656</c:v>
                </c:pt>
                <c:pt idx="9">
                  <c:v>0.23174839767476524</c:v>
                </c:pt>
                <c:pt idx="10">
                  <c:v>0.20900817074234537</c:v>
                </c:pt>
              </c:numCache>
            </c:numRef>
          </c:val>
          <c:smooth val="0"/>
        </c:ser>
        <c:marker val="1"/>
        <c:axId val="16628963"/>
        <c:axId val="15442940"/>
      </c:lineChart>
      <c:cat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28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785"/>
          <c:w val="0.915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data!$Z$237:$Z$248</c:f>
              <c:numCache>
                <c:ptCount val="12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  <c:pt idx="10">
                  <c:v>46518</c:v>
                </c:pt>
                <c:pt idx="11">
                  <c:v>46775</c:v>
                </c:pt>
              </c:numCache>
            </c:numRef>
          </c:val>
        </c:ser>
        <c:ser>
          <c:idx val="1"/>
          <c:order val="1"/>
          <c:tx>
            <c:strRef>
              <c:f>data!$AA$236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data!$AA$237:$AA$248</c:f>
              <c:numCache>
                <c:ptCount val="12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  <c:pt idx="10">
                  <c:v>454588</c:v>
                </c:pt>
                <c:pt idx="11">
                  <c:v>637712</c:v>
                </c:pt>
              </c:numCache>
            </c:numRef>
          </c:val>
        </c:ser>
        <c:ser>
          <c:idx val="2"/>
          <c:order val="2"/>
          <c:tx>
            <c:strRef>
              <c:f>data!$AB$236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data!$AB$237:$AB$248</c:f>
              <c:numCache>
                <c:ptCount val="12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  <c:pt idx="10">
                  <c:v>33545</c:v>
                </c:pt>
                <c:pt idx="11">
                  <c:v>34391</c:v>
                </c:pt>
              </c:numCache>
            </c:numRef>
          </c:val>
        </c:ser>
        <c:overlap val="-27"/>
        <c:gapWidth val="219"/>
        <c:axId val="4768733"/>
        <c:axId val="42918598"/>
      </c:barChart>
      <c:cat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8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149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ASDC Multi-Year Product Distribution Trend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18"/>
          <c:w val="0.91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Summary_data!$D$21:$D$32</c:f>
              <c:numCache>
                <c:ptCount val="12"/>
                <c:pt idx="0">
                  <c:v>0</c:v>
                </c:pt>
                <c:pt idx="1">
                  <c:v>3.571884</c:v>
                </c:pt>
                <c:pt idx="2">
                  <c:v>5.1073</c:v>
                </c:pt>
                <c:pt idx="3">
                  <c:v>4.406202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10.212371</c:v>
                </c:pt>
                <c:pt idx="7">
                  <c:v>15.472293</c:v>
                </c:pt>
                <c:pt idx="8">
                  <c:v>15.943277</c:v>
                </c:pt>
                <c:pt idx="9">
                  <c:v>18.483862</c:v>
                </c:pt>
                <c:pt idx="10">
                  <c:v>31.037472</c:v>
                </c:pt>
                <c:pt idx="11">
                  <c:v>26.575335</c:v>
                </c:pt>
              </c:numCache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ORNL Multi-Year Product Distribution Trend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1775"/>
          <c:w val="0.91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Summary_data!$M$21:$M$32</c:f>
              <c:numCache>
                <c:ptCount val="12"/>
                <c:pt idx="0">
                  <c:v>0</c:v>
                </c:pt>
                <c:pt idx="1">
                  <c:v>0.399323</c:v>
                </c:pt>
                <c:pt idx="2">
                  <c:v>7.69942</c:v>
                </c:pt>
                <c:pt idx="3">
                  <c:v>49.882875</c:v>
                </c:pt>
                <c:pt idx="4">
                  <c:v>3.194725</c:v>
                </c:pt>
                <c:pt idx="5">
                  <c:v>6.706193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  <c:pt idx="11">
                  <c:v>34.901304</c:v>
                </c:pt>
              </c:numCache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2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Total Archive Volume Trend</a:t>
            </a:r>
          </a:p>
        </c:rich>
      </c:tx>
      <c:layout>
        <c:manualLayout>
          <c:xMode val="factor"/>
          <c:yMode val="factor"/>
          <c:x val="0.05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1775"/>
          <c:w val="0.87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data!$L$157:$L$167</c:f>
              <c:numCache>
                <c:ptCount val="11"/>
                <c:pt idx="0">
                  <c:v>21.843390625</c:v>
                </c:pt>
                <c:pt idx="1">
                  <c:v>29.621</c:v>
                </c:pt>
                <c:pt idx="2">
                  <c:v>32.9021357421875</c:v>
                </c:pt>
                <c:pt idx="3">
                  <c:v>36.1633310546875</c:v>
                </c:pt>
                <c:pt idx="4">
                  <c:v>41.46984375</c:v>
                </c:pt>
                <c:pt idx="5">
                  <c:v>44.454013671875</c:v>
                </c:pt>
                <c:pt idx="6">
                  <c:v>54.8790291053073</c:v>
                </c:pt>
                <c:pt idx="7">
                  <c:v>89.56239257812501</c:v>
                </c:pt>
                <c:pt idx="8">
                  <c:v>164.003359375</c:v>
                </c:pt>
                <c:pt idx="9">
                  <c:v>245.70528320312502</c:v>
                </c:pt>
                <c:pt idx="10">
                  <c:v>314.8735548427951</c:v>
                </c:pt>
              </c:numCache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27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845"/>
          <c:w val="0.918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data!$L$170</c:f>
              <c:strCache>
                <c:ptCount val="1"/>
                <c:pt idx="0">
                  <c:v>PO.DAAC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data!$L$171:$L$181</c:f>
              <c:numCache>
                <c:ptCount val="11"/>
                <c:pt idx="0">
                  <c:v>0.3592377107575398</c:v>
                </c:pt>
                <c:pt idx="1">
                  <c:v>0.3016263495968293</c:v>
                </c:pt>
                <c:pt idx="2">
                  <c:v>0.3594003241491086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0.3792</c:v>
                </c:pt>
                <c:pt idx="6">
                  <c:v>0.4631744141999026</c:v>
                </c:pt>
                <c:pt idx="7">
                  <c:v>0.30471387666139577</c:v>
                </c:pt>
                <c:pt idx="8">
                  <c:v>0.31115350981795054</c:v>
                </c:pt>
                <c:pt idx="9">
                  <c:v>0.3167139227455168</c:v>
                </c:pt>
                <c:pt idx="10">
                  <c:v>0.31003674616326826</c:v>
                </c:pt>
              </c:numCache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0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8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data!$AC$237:$AC$248</c:f>
              <c:numCache>
                <c:ptCount val="12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  <c:pt idx="10">
                  <c:v>39732</c:v>
                </c:pt>
                <c:pt idx="11">
                  <c:v>40086</c:v>
                </c:pt>
              </c:numCache>
            </c:numRef>
          </c:val>
        </c:ser>
        <c:ser>
          <c:idx val="1"/>
          <c:order val="1"/>
          <c:tx>
            <c:strRef>
              <c:f>data!$AD$236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data!$AD$237:$AD$248</c:f>
              <c:numCache>
                <c:ptCount val="12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  <c:pt idx="10">
                  <c:v>343100</c:v>
                </c:pt>
                <c:pt idx="11">
                  <c:v>1354393</c:v>
                </c:pt>
              </c:numCache>
            </c:numRef>
          </c:val>
        </c:ser>
        <c:ser>
          <c:idx val="2"/>
          <c:order val="2"/>
          <c:tx>
            <c:strRef>
              <c:f>data!$AE$236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data!$AE$237:$AE$248</c:f>
              <c:numCache>
                <c:ptCount val="12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  <c:pt idx="10">
                  <c:v>27157</c:v>
                </c:pt>
                <c:pt idx="11">
                  <c:v>27758</c:v>
                </c:pt>
              </c:numCache>
            </c:numRef>
          </c:val>
        </c:ser>
        <c:overlap val="-27"/>
        <c:gapWidth val="219"/>
        <c:axId val="26898693"/>
        <c:axId val="40761646"/>
      </c:barChart>
      <c:cat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98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140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PO.DAAC Multi-Year Product Distribution Trend</a:t>
            </a:r>
          </a:p>
        </c:rich>
      </c:tx>
      <c:layout>
        <c:manualLayout>
          <c:xMode val="factor"/>
          <c:yMode val="factor"/>
          <c:x val="0.05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8"/>
          <c:w val="0.932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Summary_data!$N$21:$N$32</c:f>
              <c:numCache>
                <c:ptCount val="12"/>
                <c:pt idx="0">
                  <c:v>0</c:v>
                </c:pt>
                <c:pt idx="1">
                  <c:v>16.487646</c:v>
                </c:pt>
                <c:pt idx="2">
                  <c:v>31.722079</c:v>
                </c:pt>
                <c:pt idx="3">
                  <c:v>50.334622</c:v>
                </c:pt>
                <c:pt idx="4">
                  <c:v>38.27294</c:v>
                </c:pt>
                <c:pt idx="5">
                  <c:v>54.068234</c:v>
                </c:pt>
                <c:pt idx="6">
                  <c:v>89.251096</c:v>
                </c:pt>
                <c:pt idx="7">
                  <c:v>71.263045</c:v>
                </c:pt>
                <c:pt idx="8">
                  <c:v>77.176447</c:v>
                </c:pt>
                <c:pt idx="9">
                  <c:v>93.017982</c:v>
                </c:pt>
                <c:pt idx="10">
                  <c:v>87.788123</c:v>
                </c:pt>
                <c:pt idx="11">
                  <c:v>48.444205</c:v>
                </c:pt>
              </c:numCache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1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Total Archive Volume Trend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18"/>
          <c:w val="0.871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data!$M$157:$M$167</c:f>
              <c:numCache>
                <c:ptCount val="11"/>
                <c:pt idx="2">
                  <c:v>2.722111328125</c:v>
                </c:pt>
                <c:pt idx="3">
                  <c:v>2.8863720703125</c:v>
                </c:pt>
                <c:pt idx="4">
                  <c:v>3.30794921875</c:v>
                </c:pt>
                <c:pt idx="5">
                  <c:v>3.3409765625</c:v>
                </c:pt>
                <c:pt idx="6">
                  <c:v>3.3594172669090723</c:v>
                </c:pt>
                <c:pt idx="7">
                  <c:v>3.36599609375</c:v>
                </c:pt>
                <c:pt idx="8">
                  <c:v>3.720546875</c:v>
                </c:pt>
                <c:pt idx="9">
                  <c:v>3.88087890625</c:v>
                </c:pt>
                <c:pt idx="10">
                  <c:v>6.33394758868416</c:v>
                </c:pt>
              </c:numCache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2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845"/>
          <c:w val="0.9337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data!$M$170</c:f>
              <c:strCache>
                <c:ptCount val="1"/>
                <c:pt idx="0">
                  <c:v>SEDAC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data!$M$171:$M$181</c:f>
              <c:numCache>
                <c:ptCount val="11"/>
                <c:pt idx="1">
                  <c:v>0.08016785169312685</c:v>
                </c:pt>
                <c:pt idx="2">
                  <c:v>0.2743026383903188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0.5363657077072516</c:v>
                </c:pt>
                <c:pt idx="7">
                  <c:v>0.6621954187738324</c:v>
                </c:pt>
                <c:pt idx="8">
                  <c:v>0.6443627686273434</c:v>
                </c:pt>
                <c:pt idx="9">
                  <c:v>0.5526292203884614</c:v>
                </c:pt>
                <c:pt idx="10">
                  <c:v>0.24505321765842303</c:v>
                </c:pt>
              </c:numCache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2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785"/>
          <c:w val="0.93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data!$AF$237:$AF$248</c:f>
              <c:numCache>
                <c:ptCount val="12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  <c:pt idx="10">
                  <c:v>94980</c:v>
                </c:pt>
                <c:pt idx="11">
                  <c:v>103800</c:v>
                </c:pt>
              </c:numCache>
            </c:numRef>
          </c:val>
        </c:ser>
        <c:ser>
          <c:idx val="1"/>
          <c:order val="1"/>
          <c:tx>
            <c:strRef>
              <c:f>data!$AG$236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data!$AG$237:$AG$248</c:f>
              <c:numCache>
                <c:ptCount val="12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  <c:pt idx="10">
                  <c:v>923167</c:v>
                </c:pt>
                <c:pt idx="11">
                  <c:v>1788088</c:v>
                </c:pt>
              </c:numCache>
            </c:numRef>
          </c:val>
        </c:ser>
        <c:ser>
          <c:idx val="2"/>
          <c:order val="2"/>
          <c:tx>
            <c:strRef>
              <c:f>data!$AH$236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data!$AH$237:$AH$248</c:f>
              <c:numCache>
                <c:ptCount val="12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  <c:pt idx="10">
                  <c:v>78103</c:v>
                </c:pt>
                <c:pt idx="11">
                  <c:v>83337</c:v>
                </c:pt>
              </c:numCache>
            </c:numRef>
          </c:val>
        </c:ser>
        <c:overlap val="-27"/>
        <c:gapWidth val="219"/>
        <c:axId val="38010925"/>
        <c:axId val="6554006"/>
      </c:bar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10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12925"/>
          <c:w val="0.4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SEDAC Multi-Year Product Distribution Trend</a:t>
            </a:r>
          </a:p>
        </c:rich>
      </c:tx>
      <c:layout>
        <c:manualLayout>
          <c:xMode val="factor"/>
          <c:yMode val="factor"/>
          <c:x val="0.033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"/>
          <c:w val="0.90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Summary_data!$O$21:$O$32</c:f>
              <c:numCache>
                <c:ptCount val="12"/>
                <c:pt idx="0">
                  <c:v>0</c:v>
                </c:pt>
                <c:pt idx="1">
                  <c:v>0.074131</c:v>
                </c:pt>
                <c:pt idx="2">
                  <c:v>0.49062</c:v>
                </c:pt>
                <c:pt idx="3">
                  <c:v>3.566385</c:v>
                </c:pt>
                <c:pt idx="4">
                  <c:v>4.158651</c:v>
                </c:pt>
                <c:pt idx="5">
                  <c:v>1.599327</c:v>
                </c:pt>
                <c:pt idx="6">
                  <c:v>4.687222</c:v>
                </c:pt>
                <c:pt idx="7">
                  <c:v>6.392213</c:v>
                </c:pt>
                <c:pt idx="8">
                  <c:v>7.651738</c:v>
                </c:pt>
                <c:pt idx="9">
                  <c:v>5.787392</c:v>
                </c:pt>
                <c:pt idx="10">
                  <c:v>3.555455</c:v>
                </c:pt>
                <c:pt idx="11">
                  <c:v>0.897332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85"/>
          <c:w val="0.866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L_data!$A$160:$A$168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L_data!$B$160:$B$168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</c:v>
                </c:pt>
                <c:pt idx="5">
                  <c:v>16.326743895168047</c:v>
                </c:pt>
                <c:pt idx="6">
                  <c:v>20.760576923076922</c:v>
                </c:pt>
                <c:pt idx="7">
                  <c:v>21.10148384679909</c:v>
                </c:pt>
                <c:pt idx="8">
                  <c:v>18.820522293356575</c:v>
                </c:pt>
              </c:numCache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Weekly Average Volume (TB)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4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Total Archive Volume Trend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18"/>
          <c:w val="0.89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data!$C$157:$C$167</c:f>
              <c:numCache>
                <c:ptCount val="11"/>
                <c:pt idx="0">
                  <c:v>255.6104873046875</c:v>
                </c:pt>
                <c:pt idx="1">
                  <c:v>376.687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3597.054208984375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2656.079189453125</c:v>
                </c:pt>
                <c:pt idx="9">
                  <c:v>5230.002034044266</c:v>
                </c:pt>
                <c:pt idx="10">
                  <c:v>6550.836700660107</c:v>
                </c:pt>
              </c:numCache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425"/>
          <c:w val="0.9442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L_Summary_data!$B$22:$B$30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L_Summary_data!$C$22:$C$30</c:f>
              <c:numCache>
                <c:ptCount val="9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</c:v>
                </c:pt>
                <c:pt idx="4">
                  <c:v>891.626412060547</c:v>
                </c:pt>
                <c:pt idx="5">
                  <c:v>786.3668250761989</c:v>
                </c:pt>
                <c:pt idx="6">
                  <c:v>763.04</c:v>
                </c:pt>
                <c:pt idx="7">
                  <c:v>889.1336167524994</c:v>
                </c:pt>
                <c:pt idx="8">
                  <c:v>874.061997302417</c:v>
                </c:pt>
              </c:numCache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9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825"/>
          <c:w val="0.9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L_data!$B$235:$B$243</c:f>
              <c:numCache>
                <c:ptCount val="9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  <c:pt idx="7">
                  <c:v>302452</c:v>
                </c:pt>
                <c:pt idx="8">
                  <c:v>294901</c:v>
                </c:pt>
              </c:numCache>
            </c:numRef>
          </c:val>
        </c:ser>
        <c:ser>
          <c:idx val="1"/>
          <c:order val="1"/>
          <c:tx>
            <c:strRef>
              <c:f>L_data!$C$234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L_data!$C$235:$C$243</c:f>
              <c:numCache>
                <c:ptCount val="9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  <c:pt idx="7">
                  <c:v>2925899</c:v>
                </c:pt>
                <c:pt idx="8">
                  <c:v>3706912</c:v>
                </c:pt>
              </c:numCache>
            </c:numRef>
          </c:val>
        </c:ser>
        <c:ser>
          <c:idx val="2"/>
          <c:order val="2"/>
          <c:tx>
            <c:strRef>
              <c:f>L_data!$D$234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L_data!$A$235:$A$243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L_data!$D$235:$D$243</c:f>
              <c:numCache>
                <c:ptCount val="9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  <c:pt idx="7">
                  <c:v>198199</c:v>
                </c:pt>
                <c:pt idx="8">
                  <c:v>197163</c:v>
                </c:pt>
              </c:numCache>
            </c:numRef>
          </c:val>
        </c:ser>
        <c:overlap val="-27"/>
        <c:gapWidth val="219"/>
        <c:axId val="51114325"/>
        <c:axId val="57375742"/>
      </c:bar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14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5"/>
          <c:y val="0.15375"/>
          <c:w val="0.440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LANCE Multi-Year Product Distribution Trend</a:t>
            </a:r>
          </a:p>
        </c:rich>
      </c:tx>
      <c:layout>
        <c:manualLayout>
          <c:xMode val="factor"/>
          <c:yMode val="factor"/>
          <c:x val="0.03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175"/>
          <c:w val="0.931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L_Summary_data!$B$9:$B$17</c:f>
              <c:strCache>
                <c:ptCount val="9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</c:strCache>
            </c:strRef>
          </c:cat>
          <c:val>
            <c:numRef>
              <c:f>L_Summary_data!$C$9:$C$17</c:f>
              <c:numCache>
                <c:ptCount val="9"/>
                <c:pt idx="0">
                  <c:v>17.264522</c:v>
                </c:pt>
                <c:pt idx="1">
                  <c:v>22.105112</c:v>
                </c:pt>
                <c:pt idx="2">
                  <c:v>65.958473</c:v>
                </c:pt>
                <c:pt idx="3">
                  <c:v>89.748705</c:v>
                </c:pt>
                <c:pt idx="4">
                  <c:v>69.865531</c:v>
                </c:pt>
                <c:pt idx="5">
                  <c:v>72.539675</c:v>
                </c:pt>
                <c:pt idx="6">
                  <c:v>76.3</c:v>
                </c:pt>
                <c:pt idx="7">
                  <c:v>123.179919</c:v>
                </c:pt>
                <c:pt idx="8">
                  <c:v>134.378521</c:v>
                </c:pt>
              </c:numCache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19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45"/>
          <c:w val="0.929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data!$C$170</c:f>
              <c:strCache>
                <c:ptCount val="1"/>
                <c:pt idx="0">
                  <c:v>ASF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data!$A$171:$A$181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data!$C$171:$C$181</c:f>
              <c:numCache>
                <c:ptCount val="11"/>
                <c:pt idx="0">
                  <c:v>0.04285002491280518</c:v>
                </c:pt>
                <c:pt idx="1">
                  <c:v>0.065149136577708</c:v>
                </c:pt>
                <c:pt idx="2">
                  <c:v>0.044993735049550065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0.2822750235672331</c:v>
                </c:pt>
                <c:pt idx="9">
                  <c:v>0.5582352608351251</c:v>
                </c:pt>
                <c:pt idx="10">
                  <c:v>0.4168061412448924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2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85"/>
          <c:w val="0.923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data!$E$236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data!$E$237:$E$248</c:f>
              <c:numCache>
                <c:ptCount val="12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  <c:pt idx="10">
                  <c:v>108364</c:v>
                </c:pt>
                <c:pt idx="11">
                  <c:v>161646</c:v>
                </c:pt>
              </c:numCache>
            </c:numRef>
          </c:val>
        </c:ser>
        <c:ser>
          <c:idx val="1"/>
          <c:order val="1"/>
          <c:tx>
            <c:strRef>
              <c:f>data!$F$236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data!$F$237:$F$248</c:f>
              <c:numCache>
                <c:ptCount val="12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  <c:pt idx="10">
                  <c:v>388556</c:v>
                </c:pt>
                <c:pt idx="11">
                  <c:v>551398</c:v>
                </c:pt>
              </c:numCache>
            </c:numRef>
          </c:val>
        </c:ser>
        <c:ser>
          <c:idx val="2"/>
          <c:order val="2"/>
          <c:tx>
            <c:strRef>
              <c:f>data!$G$236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data!$A$237:$A$248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data!$G$237:$G$248</c:f>
              <c:numCache>
                <c:ptCount val="12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  <c:pt idx="10">
                  <c:v>70696</c:v>
                </c:pt>
                <c:pt idx="11">
                  <c:v>106949</c:v>
                </c:pt>
              </c:numCache>
            </c:numRef>
          </c:val>
        </c:ser>
        <c:overlap val="-27"/>
        <c:gapWidth val="219"/>
        <c:axId val="4924061"/>
        <c:axId val="44316550"/>
      </c:barChart>
      <c:cat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1545"/>
          <c:w val="0.440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ASF Multi-Year Product Distribution Trend</a:t>
            </a:r>
          </a:p>
        </c:rich>
      </c:tx>
      <c:layout>
        <c:manualLayout>
          <c:xMode val="factor"/>
          <c:yMode val="factor"/>
          <c:x val="0.014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8"/>
          <c:w val="0.938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Summary_data!$C$21:$C$32</c:f>
              <c:strCache>
                <c:ptCount val="12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Summary_data!$E$21:$E$32</c:f>
              <c:numCache>
                <c:ptCount val="12"/>
                <c:pt idx="0">
                  <c:v>0</c:v>
                </c:pt>
                <c:pt idx="1">
                  <c:v>0.30387</c:v>
                </c:pt>
                <c:pt idx="2">
                  <c:v>0.472857</c:v>
                </c:pt>
                <c:pt idx="3">
                  <c:v>0.101671</c:v>
                </c:pt>
                <c:pt idx="4">
                  <c:v>0.368609</c:v>
                </c:pt>
                <c:pt idx="5">
                  <c:v>0.846248</c:v>
                </c:pt>
                <c:pt idx="6">
                  <c:v>0.673608</c:v>
                </c:pt>
                <c:pt idx="7">
                  <c:v>1.110146</c:v>
                </c:pt>
                <c:pt idx="8">
                  <c:v>2.00086</c:v>
                </c:pt>
                <c:pt idx="9">
                  <c:v>5.180425</c:v>
                </c:pt>
                <c:pt idx="10">
                  <c:v>6.667925</c:v>
                </c:pt>
                <c:pt idx="11">
                  <c:v>11.235903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 Distributed (Millions)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CDDIS Multi-Year Total Archive Volume Trend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25"/>
          <c:y val="0.118"/>
          <c:w val="0.864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data!$A$157:$A$167</c:f>
              <c:strCache>
                <c:ptCount val="11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  <c:pt idx="10">
                  <c:v>FY18</c:v>
                </c:pt>
              </c:strCache>
            </c:strRef>
          </c:cat>
          <c:val>
            <c:numRef>
              <c:f>data!$D$157:$D$167</c:f>
              <c:numCache>
                <c:ptCount val="11"/>
                <c:pt idx="3">
                  <c:v>6.03</c:v>
                </c:pt>
                <c:pt idx="4">
                  <c:v>6.74</c:v>
                </c:pt>
                <c:pt idx="5">
                  <c:v>7.996279296875</c:v>
                </c:pt>
                <c:pt idx="6">
                  <c:v>11.422</c:v>
                </c:pt>
                <c:pt idx="7">
                  <c:v>13.209765625</c:v>
                </c:pt>
                <c:pt idx="8">
                  <c:v>17.5</c:v>
                </c:pt>
                <c:pt idx="9">
                  <c:v>20.16</c:v>
                </c:pt>
                <c:pt idx="10">
                  <c:v>16.43788675719678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Volume (TB)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01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ASDC Yearly Percentage of Web Users  Downloading Data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-0.006</cdr:y>
    </cdr:from>
    <cdr:to>
      <cdr:x>0.965</cdr:x>
      <cdr:y>0.11775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-9524"/>
          <a:ext cx="533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GESDISC Yearly Percentage of Web Users  Downloading Data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GESDISC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19050</xdr:rowOff>
    </xdr:from>
    <xdr:to>
      <xdr:col>3</xdr:col>
      <xdr:colOff>1352550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43300"/>
        <a:ext cx="6162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19050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886575" y="6686550"/>
        <a:ext cx="59340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3</xdr:col>
      <xdr:colOff>1352550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67500"/>
        <a:ext cx="61626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877050" y="3533775"/>
        <a:ext cx="59340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0.959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GHRC Yearly Percentage of Web Users  Downloading Data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GHRC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4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95300" y="352425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791325" y="3505200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-0.011</cdr:y>
    </cdr:from>
    <cdr:to>
      <cdr:x>0.96975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-28574"/>
          <a:ext cx="5362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LPDAAC Yearly Percentage of Web Users  Downloading Data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1190625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57200" y="350520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23</xdr:row>
      <xdr:rowOff>19050</xdr:rowOff>
    </xdr:from>
    <xdr:to>
      <xdr:col>11</xdr:col>
      <xdr:colOff>28575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6915150" y="6648450"/>
        <a:ext cx="5924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722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19050</xdr:rowOff>
    </xdr:from>
    <xdr:to>
      <xdr:col>11</xdr:col>
      <xdr:colOff>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915150" y="3505200"/>
        <a:ext cx="58959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-0.00625</cdr:y>
    </cdr:from>
    <cdr:to>
      <cdr:x>0.9745</cdr:x>
      <cdr:y>0.1075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9524"/>
          <a:ext cx="5514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LAADS DAAC Yearly Percentage of Web Users  Downloading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-0.0045</cdr:y>
    </cdr:from>
    <cdr:to>
      <cdr:x>0.91</cdr:x>
      <cdr:y>0.09675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-9524"/>
          <a:ext cx="419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LAADS 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1333500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143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11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867525" y="6648450"/>
        <a:ext cx="5924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23</xdr:row>
      <xdr:rowOff>19050</xdr:rowOff>
    </xdr:from>
    <xdr:to>
      <xdr:col>4</xdr:col>
      <xdr:colOff>19050</xdr:colOff>
      <xdr:row>31</xdr:row>
      <xdr:rowOff>304800</xdr:rowOff>
    </xdr:to>
    <xdr:graphicFrame>
      <xdr:nvGraphicFramePr>
        <xdr:cNvPr id="3" name="Chart 3"/>
        <xdr:cNvGraphicFramePr/>
      </xdr:nvGraphicFramePr>
      <xdr:xfrm>
        <a:off x="457200" y="6648450"/>
        <a:ext cx="62007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86575" y="3495675"/>
        <a:ext cx="58959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-0.001</cdr:y>
    </cdr:from>
    <cdr:to>
      <cdr:x>0.954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0"/>
          <a:ext cx="509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NSIDC Yearly Percentage of Web Users  Downloading Data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NSIDC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3</xdr:col>
      <xdr:colOff>1247775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5300" y="3524250"/>
        <a:ext cx="6057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0</xdr:rowOff>
    </xdr:from>
    <xdr:to>
      <xdr:col>10</xdr:col>
      <xdr:colOff>1905000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762750" y="6629400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1209675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9525</xdr:rowOff>
    </xdr:from>
    <xdr:to>
      <xdr:col>11</xdr:col>
      <xdr:colOff>19050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6800850" y="3495675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0.3605</cdr:y>
    </cdr:from>
    <cdr:to>
      <cdr:x>0.70475</cdr:x>
      <cdr:y>0.4815</cdr:y>
    </cdr:to>
    <cdr:sp>
      <cdr:nvSpPr>
        <cdr:cNvPr id="1" name="TextBox 2"/>
        <cdr:cNvSpPr txBox="1">
          <a:spLocks noChangeArrowheads="1"/>
        </cdr:cNvSpPr>
      </cdr:nvSpPr>
      <cdr:spPr>
        <a:xfrm rot="19720268">
          <a:off x="2647950" y="1009650"/>
          <a:ext cx="1590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-0.011</cdr:y>
    </cdr:from>
    <cdr:to>
      <cdr:x>0.96675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-28574"/>
          <a:ext cx="544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OB.DAAC Yearly Percentage of Web Users  Downloading Data</a:t>
          </a:r>
        </a:p>
      </cdr:txBody>
    </cdr:sp>
  </cdr:relSizeAnchor>
  <cdr:relSizeAnchor xmlns:cdr="http://schemas.openxmlformats.org/drawingml/2006/chartDrawing">
    <cdr:from>
      <cdr:x>0.4285</cdr:x>
      <cdr:y>0.41825</cdr:y>
    </cdr:from>
    <cdr:to>
      <cdr:x>0.7135</cdr:x>
      <cdr:y>0.5385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533650" y="118110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0.37775</cdr:x>
      <cdr:y>0.439</cdr:y>
    </cdr:from>
    <cdr:to>
      <cdr:x>0.66</cdr:x>
      <cdr:y>0.55925</cdr:y>
    </cdr:to>
    <cdr:sp>
      <cdr:nvSpPr>
        <cdr:cNvPr id="2" name="TextBox 1"/>
        <cdr:cNvSpPr txBox="1">
          <a:spLocks noChangeArrowheads="1"/>
        </cdr:cNvSpPr>
      </cdr:nvSpPr>
      <cdr:spPr>
        <a:xfrm rot="19720268">
          <a:off x="2286000" y="1238250"/>
          <a:ext cx="171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3</xdr:col>
      <xdr:colOff>1190625</xdr:colOff>
      <xdr:row>21</xdr:row>
      <xdr:rowOff>295275</xdr:rowOff>
    </xdr:to>
    <xdr:graphicFrame>
      <xdr:nvGraphicFramePr>
        <xdr:cNvPr id="1" name="Chart 1"/>
        <xdr:cNvGraphicFramePr/>
      </xdr:nvGraphicFramePr>
      <xdr:xfrm>
        <a:off x="476250" y="348615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10</xdr:row>
      <xdr:rowOff>76200</xdr:rowOff>
    </xdr:from>
    <xdr:to>
      <xdr:col>9</xdr:col>
      <xdr:colOff>762000</xdr:colOff>
      <xdr:row>11</xdr:row>
      <xdr:rowOff>171450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934450" y="2876550"/>
          <a:ext cx="1562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Data Not Available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-0.001</cdr:y>
    </cdr:from>
    <cdr:to>
      <cdr:x>0.95875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496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ORNL Yearly Percentage of Web Users  Downloading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5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ORNL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19050</xdr:rowOff>
    </xdr:from>
    <xdr:to>
      <xdr:col>3</xdr:col>
      <xdr:colOff>1200150</xdr:colOff>
      <xdr:row>32</xdr:row>
      <xdr:rowOff>19050</xdr:rowOff>
    </xdr:to>
    <xdr:graphicFrame>
      <xdr:nvGraphicFramePr>
        <xdr:cNvPr id="3" name="Chart 3"/>
        <xdr:cNvGraphicFramePr/>
      </xdr:nvGraphicFramePr>
      <xdr:xfrm>
        <a:off x="485775" y="6648450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13</xdr:row>
      <xdr:rowOff>19050</xdr:rowOff>
    </xdr:from>
    <xdr:to>
      <xdr:col>10</xdr:col>
      <xdr:colOff>1905000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62750" y="3505200"/>
        <a:ext cx="58769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-0.011</cdr:y>
    </cdr:from>
    <cdr:to>
      <cdr:x>0.98125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-28574"/>
          <a:ext cx="5543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PO.DAAC Yearly Percentage of Web Users  Downloading Data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PO.DAAC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85775" y="3505200"/>
        <a:ext cx="6019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11</xdr:col>
      <xdr:colOff>9525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6791325" y="6648450"/>
        <a:ext cx="59150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76250" y="6638925"/>
        <a:ext cx="60293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9525</xdr:rowOff>
    </xdr:from>
    <xdr:to>
      <xdr:col>11</xdr:col>
      <xdr:colOff>9525</xdr:colOff>
      <xdr:row>21</xdr:row>
      <xdr:rowOff>304800</xdr:rowOff>
    </xdr:to>
    <xdr:graphicFrame>
      <xdr:nvGraphicFramePr>
        <xdr:cNvPr id="4" name="Chart 4"/>
        <xdr:cNvGraphicFramePr/>
      </xdr:nvGraphicFramePr>
      <xdr:xfrm>
        <a:off x="6791325" y="3495675"/>
        <a:ext cx="5915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-0.011</cdr:y>
    </cdr:from>
    <cdr:to>
      <cdr:x>0.95025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28574"/>
          <a:ext cx="511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SEDAC Yearly Percentage of Web Users  Downloading Data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0.91025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9524"/>
          <a:ext cx="407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SEDAC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3</xdr:col>
      <xdr:colOff>1200150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85775" y="3505200"/>
        <a:ext cx="6019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23</xdr:row>
      <xdr:rowOff>9525</xdr:rowOff>
    </xdr:from>
    <xdr:to>
      <xdr:col>10</xdr:col>
      <xdr:colOff>1905000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62750" y="6638925"/>
        <a:ext cx="58769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</xdr:row>
      <xdr:rowOff>9525</xdr:rowOff>
    </xdr:from>
    <xdr:to>
      <xdr:col>3</xdr:col>
      <xdr:colOff>1200150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485775" y="6638925"/>
        <a:ext cx="60198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9525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15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0.01625</cdr:y>
    </cdr:from>
    <cdr:to>
      <cdr:x>1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38100"/>
          <a:ext cx="5429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Weekly Average Production Volume Trend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-0.001</cdr:y>
    </cdr:from>
    <cdr:to>
      <cdr:x>0.87425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0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LANCE Multi-Year Volume Distribution Trend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-0.001</cdr:y>
    </cdr:from>
    <cdr:to>
      <cdr:x>0.9585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ASF Yearly Percentage of Web Users  Downloading Data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-0.00425</cdr:y>
    </cdr:from>
    <cdr:to>
      <cdr:x>0.9105</cdr:x>
      <cdr:y>0.097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-9524"/>
          <a:ext cx="4029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LANCE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9525</xdr:rowOff>
    </xdr:from>
    <xdr:to>
      <xdr:col>3</xdr:col>
      <xdr:colOff>1114425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57200" y="3810000"/>
        <a:ext cx="5972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24</xdr:row>
      <xdr:rowOff>9525</xdr:rowOff>
    </xdr:from>
    <xdr:to>
      <xdr:col>10</xdr:col>
      <xdr:colOff>1885950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6686550" y="6953250"/>
        <a:ext cx="5886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3</xdr:col>
      <xdr:colOff>1123950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485775" y="6943725"/>
        <a:ext cx="59531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9525</xdr:rowOff>
    </xdr:from>
    <xdr:to>
      <xdr:col>11</xdr:col>
      <xdr:colOff>19050</xdr:colOff>
      <xdr:row>22</xdr:row>
      <xdr:rowOff>285750</xdr:rowOff>
    </xdr:to>
    <xdr:graphicFrame>
      <xdr:nvGraphicFramePr>
        <xdr:cNvPr id="4" name="Chart 4"/>
        <xdr:cNvGraphicFramePr/>
      </xdr:nvGraphicFramePr>
      <xdr:xfrm>
        <a:off x="6705600" y="3810000"/>
        <a:ext cx="59626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-0.00425</cdr:y>
    </cdr:from>
    <cdr:to>
      <cdr:x>0.91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-9524"/>
          <a:ext cx="415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ASF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1266825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115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877050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1436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877050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-0.001</cdr:y>
    </cdr:from>
    <cdr:to>
      <cdr:x>0.958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0"/>
          <a:ext cx="498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CDDIS Yearly Percentage of Web Users  Downloading Data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-0.00425</cdr:y>
    </cdr:from>
    <cdr:to>
      <cdr:x>0.91075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-9524"/>
          <a:ext cx="410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CDDIS Multi-Year Trend for Web Accesses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3</xdr:col>
      <xdr:colOff>1247775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57200" y="3505200"/>
        <a:ext cx="6096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11</xdr:col>
      <xdr:colOff>19050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791325" y="6638925"/>
        <a:ext cx="59245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95300" y="6629400"/>
        <a:ext cx="60579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13</xdr:row>
      <xdr:rowOff>19050</xdr:rowOff>
    </xdr:from>
    <xdr:to>
      <xdr:col>11</xdr:col>
      <xdr:colOff>19050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6791325" y="3505200"/>
        <a:ext cx="59245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22.7109375" style="0" customWidth="1"/>
    <col min="2" max="2" width="8.140625" style="0" customWidth="1"/>
    <col min="3" max="3" width="0.13671875" style="0" hidden="1" customWidth="1"/>
  </cols>
  <sheetData>
    <row r="1" ht="261">
      <c r="A1" s="64" t="s">
        <v>145</v>
      </c>
    </row>
    <row r="2" ht="12.75">
      <c r="A2" s="61"/>
    </row>
    <row r="3" s="62" customFormat="1" ht="168.75" customHeight="1">
      <c r="A3" s="66" t="s">
        <v>146</v>
      </c>
    </row>
    <row r="4" ht="27" customHeight="1">
      <c r="A4" s="65" t="s">
        <v>81</v>
      </c>
    </row>
    <row r="7" ht="12.75">
      <c r="A7" s="63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CONCATENATE("NSIDC Summary for ",Summary_data!T1)</f>
        <v>NSIDC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CONCATENATE(data!$I$2," Distribution and User Trends ",Summary_data!S1)</f>
        <v>NSIDC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Summary_data!$C$11</f>
        <v>NSIDC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Summary_data!$D$11</f>
        <v>700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Summary_data!G$11</f>
        <v>549654</v>
      </c>
      <c r="F5" s="308" t="s">
        <v>75</v>
      </c>
      <c r="G5" s="328">
        <f>data!$I$15</f>
        <v>157.131425</v>
      </c>
      <c r="H5" s="294"/>
      <c r="I5" s="289">
        <f>(data!$I$15-data!$I$17)/data!$I$17</f>
        <v>0.5363938762298848</v>
      </c>
      <c r="J5" s="296">
        <f>data!$I$16</f>
        <v>13.094285416666667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Summary_data!H$11</f>
        <v>798789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CONCATENATE(FIXED(1024*Summary_data!$K$11,1)," GB/day")</f>
        <v>862.1 GB/day</v>
      </c>
      <c r="F7" s="306" t="s">
        <v>69</v>
      </c>
      <c r="G7" s="326">
        <f>data!$I$67</f>
        <v>542.4003976383194</v>
      </c>
      <c r="H7" s="295"/>
      <c r="I7" s="289">
        <f>(data!$I$67-data!$I$69)/data!$I$69</f>
        <v>0.41379700082115156</v>
      </c>
      <c r="J7" s="297">
        <f>data!$I$68</f>
        <v>45.20003313652662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CONCATENATE(FIXED(Summary_data!$L$11,1)," TB")</f>
        <v>619.3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CONCATENATE(FIXED(Summary_data!$O$11,1)," M")</f>
        <v>157.1 M</v>
      </c>
      <c r="F9" s="306" t="s">
        <v>65</v>
      </c>
      <c r="G9" s="315">
        <f>data!$I$120</f>
        <v>16951</v>
      </c>
      <c r="H9" s="295"/>
      <c r="I9" s="289">
        <f>(data!$I$120-data!$I$121)/data!$I$121</f>
        <v>-0.5292957902921248</v>
      </c>
      <c r="J9" s="318">
        <f>data!$I$119</f>
        <v>2193.6666666666665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CONCATENATE(FIXED(1024*Summary_data!$Q$11,1)," GB/day")</f>
        <v>1,521.7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data!$I$199</f>
        <v>541879</v>
      </c>
      <c r="H11" s="295"/>
      <c r="I11" s="289">
        <f>(data!$I$199-data!$I$200)/data!$I$200</f>
        <v>-0.0539937535679557</v>
      </c>
      <c r="J11" s="318">
        <f>data!$I$198</f>
        <v>48705.5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{88f9a75b-1503-4715-8ce7-ae150d70bf4c}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{70a5369b-ec8f-46cf-8b8d-bf16c1d357e9}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{9ae0f92e-1ae3-4fe5-8df3-4cfa3594fdb2}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fitToHeight="0"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f9a75b-1503-4715-8ce7-ae150d70bf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70a5369b-ec8f-46cf-8b8d-bf16c1d357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ae0f92e-1ae3-4fe5-8df3-4cfa3594fd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CONCATENATE("OB.DAAC Summary for ",Summary_data!T1)</f>
        <v>OB.DAAC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CONCATENATE(data!$J$2," Distribution and User Trends ",Summary_data!S1)</f>
        <v>OB.DAAC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Summary_data!$C$12</f>
        <v>OB.DAAC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Summary_data!$D$12</f>
        <v>184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Summary_data!G$12</f>
        <v>47937</v>
      </c>
      <c r="F5" s="308" t="s">
        <v>75</v>
      </c>
      <c r="G5" s="328">
        <f>data!$J$15</f>
        <v>55.382037999999994</v>
      </c>
      <c r="H5" s="294"/>
      <c r="I5" s="289">
        <f>(data!$J$15-data!$J$17)/data!$J$17</f>
        <v>0.15577321283404458</v>
      </c>
      <c r="J5" s="296">
        <f>data!$J$16</f>
        <v>4.615169833333333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 t="s">
        <v>76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">
        <v>76</v>
      </c>
      <c r="F7" s="306" t="s">
        <v>69</v>
      </c>
      <c r="G7" s="326">
        <f>data!$J$67</f>
        <v>1277.2397893217526</v>
      </c>
      <c r="H7" s="295"/>
      <c r="I7" s="289">
        <f>(data!$J$67-data!$J$69)/data!$J$69</f>
        <v>-0.08014637060003899</v>
      </c>
      <c r="J7" s="297">
        <f>data!$J$68</f>
        <v>106.43664911014605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">
        <v>76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CONCATENATE(FIXED(Summary_data!$O$12,1)," M")</f>
        <v>55.4 M</v>
      </c>
      <c r="F9" s="306" t="s">
        <v>65</v>
      </c>
      <c r="G9" s="315">
        <f>data!$J$120</f>
        <v>47937</v>
      </c>
      <c r="H9" s="295"/>
      <c r="I9" s="289">
        <f>(data!$J$120-data!$J$121)/data!$J$121</f>
        <v>0.38083304528171447</v>
      </c>
      <c r="J9" s="318">
        <f>data!$J$119</f>
        <v>5304.166666666667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CONCATENATE(FIXED(1024*Summary_data!$Q$12,1)," GB/day")</f>
        <v>3,583.3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35"/>
      <c r="H11" s="337"/>
      <c r="I11" s="290"/>
      <c r="J11" s="339"/>
      <c r="K11" s="333"/>
    </row>
    <row r="12" spans="6:11" ht="18" customHeight="1" thickBot="1">
      <c r="F12" s="314"/>
      <c r="G12" s="336"/>
      <c r="H12" s="338"/>
      <c r="I12" s="332"/>
      <c r="J12" s="340"/>
      <c r="K12" s="334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{243146a0-85a9-4890-8113-d8312169ec4b}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{c789584f-fb48-418c-819a-7142283255ef}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{211b7c4c-357a-4d5a-b92c-ebb8832b7e04}</x14:id>
        </ext>
      </extLst>
    </cfRule>
  </conditionalFormatting>
  <conditionalFormatting sqref="I11">
    <cfRule type="iconSet" priority="9" dxfId="0">
      <iconSet iconSet="3Arrows">
        <cfvo type="percent" val="0"/>
        <cfvo type="num" val="-0.01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3146a0-85a9-4890-8113-d8312169ec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c789584f-fb48-418c-819a-7142283255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211b7c4c-357a-4d5a-b92c-ebb8832b7e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CONCATENATE("ORNL Summary for ",Summary_data!T1)</f>
        <v>ORNL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CONCATENATE(data!$K$2," Distribution and User Trends ",Summary_data!S1)</f>
        <v>ORNL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Summary_data!$C$13</f>
        <v>ORNL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Summary_data!$D$13</f>
        <v>1386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Summary_data!G$13</f>
        <v>41058</v>
      </c>
      <c r="F5" s="308" t="s">
        <v>75</v>
      </c>
      <c r="G5" s="328">
        <f>data!$K$15</f>
        <v>34.901303999999996</v>
      </c>
      <c r="H5" s="294"/>
      <c r="I5" s="289">
        <f>(data!$K$15-data!$K$17)/data!$K$17</f>
        <v>0.29791725904396965</v>
      </c>
      <c r="J5" s="296">
        <f>data!$K$16</f>
        <v>2.9084419999999995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Summary_data!H$13</f>
        <v>46775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CONCATENATE(FIXED(1024*Summary_data!$K$13,1)," GB/day")</f>
        <v>58.1 GB/day</v>
      </c>
      <c r="F7" s="306" t="s">
        <v>69</v>
      </c>
      <c r="G7" s="326">
        <f>data!$K$67</f>
        <v>369.99535867868644</v>
      </c>
      <c r="H7" s="295"/>
      <c r="I7" s="289">
        <f>(data!$K$67-data!$K$69)/data!$K$69</f>
        <v>1.188374008675527</v>
      </c>
      <c r="J7" s="297">
        <f>data!$K$68</f>
        <v>30.832946556557204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CONCATENATE(FIXED(Summary_data!$L$13,1)," TB")</f>
        <v>203.1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CONCATENATE(FIXED(Summary_data!$O$13,1)," M")</f>
        <v>34.9 M</v>
      </c>
      <c r="F9" s="306" t="s">
        <v>65</v>
      </c>
      <c r="G9" s="315">
        <f>data!$K$120</f>
        <v>13855</v>
      </c>
      <c r="H9" s="295"/>
      <c r="I9" s="289">
        <f>(data!$K$120-data!$K$121)/data!$K$121</f>
        <v>-0.1343871048356866</v>
      </c>
      <c r="J9" s="318">
        <f>data!$K$119</f>
        <v>1694.5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CONCATENATE(FIXED(1024*Summary_data!$Q$13,1)," GB/day")</f>
        <v>1,038.0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data!$K$199</f>
        <v>34391</v>
      </c>
      <c r="H11" s="295"/>
      <c r="I11" s="289">
        <f>(data!$K$199-data!$K$200)/data!$K$200</f>
        <v>0.025219853927559994</v>
      </c>
      <c r="J11" s="318">
        <f>data!$K$198</f>
        <v>3003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{f436f641-cbfe-490a-85e2-314d0c0e71e1}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{5f060b0f-026b-4057-9a2d-e23782de968f}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{e4f1808b-6b71-4019-b396-72e6f3002e1b}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36f641-cbfe-490a-85e2-314d0c0e71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5f060b0f-026b-4057-9a2d-e23782de96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e4f1808b-6b71-4019-b396-72e6f3002e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CONCATENATE("PO.DAAC Summary for ",Summary_data!T1)</f>
        <v>PO.DAAC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CONCATENATE(data!$L$2," Distribution and User Trends ",Summary_data!S1)</f>
        <v>PO.DAAC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Summary_data!$C$14</f>
        <v>PO.DAAC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Summary_data!$D$14</f>
        <v>1190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Summary_data!G$14</f>
        <v>81123</v>
      </c>
      <c r="F5" s="308" t="s">
        <v>75</v>
      </c>
      <c r="G5" s="328">
        <f>data!$L$15</f>
        <v>48.444205000000004</v>
      </c>
      <c r="H5" s="294"/>
      <c r="I5" s="289">
        <f>(data!$L$15-data!$L$17)/data!$L$17</f>
        <v>-0.44816903079246834</v>
      </c>
      <c r="J5" s="296">
        <f>data!$L$16</f>
        <v>4.037017083333334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Summary_data!H$14</f>
        <v>40086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CONCATENATE(FIXED(1024*Summary_data!$K$14,1)," GB/day")</f>
        <v>205.2 GB/day</v>
      </c>
      <c r="F7" s="306" t="s">
        <v>69</v>
      </c>
      <c r="G7" s="326">
        <f>data!$L$67</f>
        <v>575.228783327174</v>
      </c>
      <c r="H7" s="295"/>
      <c r="I7" s="289">
        <f>(data!$L$67-data!$L$69)/data!$L$69</f>
        <v>0.050275427290106825</v>
      </c>
      <c r="J7" s="297">
        <f>data!$L$68</f>
        <v>47.93573194393117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CONCATENATE(FIXED(Summary_data!$L$14,1)," TB")</f>
        <v>314.9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CONCATENATE(FIXED(Summary_data!$O$14,1)," M")</f>
        <v>48.4 M</v>
      </c>
      <c r="F9" s="306" t="s">
        <v>65</v>
      </c>
      <c r="G9" s="315">
        <f>data!$L$120</f>
        <v>61971</v>
      </c>
      <c r="H9" s="295"/>
      <c r="I9" s="289">
        <f>(data!$L$120-data!$L$121)/data!$L$121</f>
        <v>0.08182040360310035</v>
      </c>
      <c r="J9" s="318">
        <f>data!$L$119</f>
        <v>6667.916666666667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CONCATENATE(FIXED(1024*Summary_data!$Q$14,1)," GB/day")</f>
        <v>1,613.8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data!$L$199</f>
        <v>27758</v>
      </c>
      <c r="H11" s="295"/>
      <c r="I11" s="289">
        <f>(data!$L$199-data!$L$200)/data!$L$200</f>
        <v>0.022130574069300732</v>
      </c>
      <c r="J11" s="318">
        <f>data!$L$198</f>
        <v>2457.3333333333335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{e291e4d6-8cea-4f30-a731-67a60b80802b}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{9beb28fb-53cc-4e90-82dd-91c4aa05d1ff}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{4660693d-dec7-4575-b0f5-3018ed92a9e9}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91e4d6-8cea-4f30-a731-67a60b8080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9beb28fb-53cc-4e90-82dd-91c4aa05d1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4660693d-dec7-4575-b0f5-3018ed92a9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CONCATENATE("SEDAC Summary for ",Summary_data!T1)</f>
        <v>SEDAC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CONCATENATE(data!$M$2," Distribution and User Trends ",Summary_data!S1)</f>
        <v>SEDAC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Summary_data!$C$15</f>
        <v>SEDAC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Summary_data!$D$15</f>
        <v>349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Summary_data!G$15</f>
        <v>159833</v>
      </c>
      <c r="F5" s="308" t="s">
        <v>75</v>
      </c>
      <c r="G5" s="328">
        <f>data!$M$15</f>
        <v>0.897332</v>
      </c>
      <c r="H5" s="294"/>
      <c r="I5" s="289">
        <f>(data!$M$15-data!$M$17)/data!$M$17</f>
        <v>-0.7476182373282744</v>
      </c>
      <c r="J5" s="296">
        <f>data!$M$16</f>
        <v>0.07477766666666667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Summary_data!H$15</f>
        <v>103800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69" t="str">
        <f>CONCATENATE(FIXED(1024*Summary_data!$K$15,2)," GB/day")</f>
        <v>6.88 GB/day</v>
      </c>
      <c r="F7" s="306" t="s">
        <v>69</v>
      </c>
      <c r="G7" s="326">
        <f>data!$M$67</f>
        <v>8.540635010351247</v>
      </c>
      <c r="H7" s="295"/>
      <c r="I7" s="289">
        <f>(data!$M$67-data!$M$69)/data!$M$69</f>
        <v>0.43666342486776455</v>
      </c>
      <c r="J7" s="297">
        <f>data!$M$68</f>
        <v>0.7117195841959373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CONCATENATE(FIXED(Summary_data!$L$15,1)," TB")</f>
        <v>6.3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CONCATENATE(FIXED(Summary_data!$O$15,1)," M")</f>
        <v>0.9 M</v>
      </c>
      <c r="F9" s="306" t="s">
        <v>65</v>
      </c>
      <c r="G9" s="315">
        <f>data!$M$120</f>
        <v>96918</v>
      </c>
      <c r="H9" s="295"/>
      <c r="I9" s="289">
        <f>(data!$M$120-data!$M$121)/data!$M$121</f>
        <v>-0.7371843543908365</v>
      </c>
      <c r="J9" s="318">
        <f>data!$M$119</f>
        <v>10025.166666666666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CONCATENATE(FIXED(1024*Summary_data!$Q$15,1)," GB/day")</f>
        <v>24.0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data!$M$199</f>
        <v>83337</v>
      </c>
      <c r="H11" s="295"/>
      <c r="I11" s="289">
        <f>(data!$M$199-data!$M$200)/data!$M$200</f>
        <v>0.06701407116243935</v>
      </c>
      <c r="J11" s="318">
        <f>data!$M$198</f>
        <v>7201.916666666667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{eb1846fc-7b03-4548-9e17-9e1fe5493cae}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{b9941995-ed13-4d30-9c78-c994b45eebf0}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{c8e77ea8-5fff-47c3-9e97-564278f8bf68}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1846fc-7b03-4548-9e17-9e1fe5493c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b9941995-ed13-4d30-9c78-c994b45eeb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8e77ea8-5fff-47c3-9e97-564278f8bf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="90" zoomScaleNormal="90" zoomScalePageLayoutView="90" workbookViewId="0" topLeftCell="A1">
      <selection activeCell="B11" sqref="B11"/>
    </sheetView>
  </sheetViews>
  <sheetFormatPr defaultColWidth="11.421875" defaultRowHeight="12.75"/>
  <cols>
    <col min="1" max="1" width="7.140625" style="0" customWidth="1"/>
    <col min="2" max="2" width="54.421875" style="0" customWidth="1"/>
    <col min="3" max="3" width="18.140625" style="0" customWidth="1"/>
    <col min="4" max="4" width="17.421875" style="0" customWidth="1"/>
    <col min="5" max="5" width="3.421875" style="0" customWidth="1"/>
    <col min="6" max="6" width="16.00390625" style="0" customWidth="1"/>
    <col min="7" max="7" width="13.00390625" style="0" customWidth="1"/>
    <col min="8" max="8" width="1.7109375" style="0" customWidth="1"/>
    <col min="9" max="9" width="14.0039062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  <col min="14" max="14" width="42.7109375" style="0" customWidth="1"/>
    <col min="15" max="15" width="29.7109375" style="0" customWidth="1"/>
  </cols>
  <sheetData>
    <row r="1" spans="1:11" ht="51.75" customHeight="1" thickBot="1">
      <c r="A1" s="7"/>
      <c r="B1" s="311" t="str">
        <f>CONCATENATE("LANCE Summary for ",Summary_data!T1)</f>
        <v>LANCE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CONCATENATE(L_data!B2," Distribution and User Trends ",Summary_data!S1)</f>
        <v>LANCE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L_Summary_data!B4</f>
        <v>LANCE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114" t="s">
        <v>101</v>
      </c>
      <c r="C4" s="68">
        <f>Summary_data!T13</f>
        <v>9855</v>
      </c>
      <c r="D4" s="115">
        <f>L_Summary_data!C4</f>
        <v>530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116" t="s">
        <v>102</v>
      </c>
      <c r="C5" s="68">
        <f>Summary_data!T14</f>
        <v>4126882</v>
      </c>
      <c r="D5" s="117">
        <f>L_Summary_data!F4</f>
        <v>199506</v>
      </c>
      <c r="F5" s="308" t="s">
        <v>75</v>
      </c>
      <c r="G5" s="309">
        <f>L_data!B16</f>
        <v>134.378521</v>
      </c>
      <c r="H5" s="294"/>
      <c r="I5" s="289">
        <f>(L_data!B$16-L_data!B$18)/L_data!B$18</f>
        <v>0.09091256181131284</v>
      </c>
      <c r="J5" s="296">
        <f>L_data!B$17</f>
        <v>11.198210083333334</v>
      </c>
      <c r="K5" s="343"/>
    </row>
    <row r="6" spans="2:11" ht="18" customHeight="1" thickBot="1">
      <c r="B6" s="116" t="s">
        <v>103</v>
      </c>
      <c r="C6" s="68"/>
      <c r="D6" s="117">
        <f>L_Summary_data!E4</f>
        <v>2343</v>
      </c>
      <c r="F6" s="307"/>
      <c r="G6" s="310"/>
      <c r="H6" s="295"/>
      <c r="I6" s="290"/>
      <c r="J6" s="297"/>
      <c r="K6" s="341"/>
    </row>
    <row r="7" spans="2:11" ht="18" customHeight="1" thickBot="1">
      <c r="B7" s="116" t="s">
        <v>104</v>
      </c>
      <c r="C7" s="68"/>
      <c r="D7" s="117">
        <v>371685</v>
      </c>
      <c r="F7" s="306" t="s">
        <v>69</v>
      </c>
      <c r="G7" s="304">
        <f>L_data!B69</f>
        <v>874.0619973024164</v>
      </c>
      <c r="H7" s="295"/>
      <c r="I7" s="289">
        <f>(L_data!B$69-L_data!B$71)/L_data!B$71</f>
        <v>-0.016950904977736415</v>
      </c>
      <c r="J7" s="297">
        <f>L_data!B$70</f>
        <v>72.83849977520137</v>
      </c>
      <c r="K7" s="341"/>
    </row>
    <row r="8" spans="2:11" ht="18" customHeight="1" thickBot="1">
      <c r="B8" s="116" t="s">
        <v>2</v>
      </c>
      <c r="C8" s="68" t="str">
        <f>Summary_data!T5</f>
        <v>3.06 M</v>
      </c>
      <c r="D8" s="117" t="str">
        <f>CONCATENATE(FIXED(L_Summary_data!G$4/1000000,2)," M")</f>
        <v>0.29 M</v>
      </c>
      <c r="F8" s="307"/>
      <c r="G8" s="305"/>
      <c r="H8" s="295"/>
      <c r="I8" s="290"/>
      <c r="J8" s="297"/>
      <c r="K8" s="341"/>
    </row>
    <row r="9" spans="2:11" ht="18" customHeight="1" thickBot="1">
      <c r="B9" s="116" t="s">
        <v>105</v>
      </c>
      <c r="C9" s="117" t="str">
        <f>Summary_data!T6</f>
        <v>22.7 TB/day</v>
      </c>
      <c r="D9" s="118" t="str">
        <f>CONCATENATE(FIXED(L_Summary_data!$J$4,1)," TB/day")</f>
        <v>2.7 TB/day</v>
      </c>
      <c r="F9" s="306" t="s">
        <v>106</v>
      </c>
      <c r="G9" s="315">
        <f>L_data!B$123</f>
        <v>2343</v>
      </c>
      <c r="H9" s="295"/>
      <c r="I9" s="289">
        <f>(L_data!B$123-L_data!B$124)/L_data!B$124</f>
        <v>-0.084765625</v>
      </c>
      <c r="J9" s="318">
        <f>L_data!B$122</f>
        <v>341.1666666666667</v>
      </c>
      <c r="K9" s="341"/>
    </row>
    <row r="10" spans="2:11" ht="21" customHeight="1" thickBot="1">
      <c r="B10" s="116" t="s">
        <v>4</v>
      </c>
      <c r="C10" s="68" t="str">
        <f>Summary_data!T7</f>
        <v>27.4 PB</v>
      </c>
      <c r="D10" s="119" t="str">
        <f>CONCATENATE(FIXED(L_Summary_data!$K$4,1)," PB")</f>
        <v>1.0 PB</v>
      </c>
      <c r="F10" s="307"/>
      <c r="G10" s="320"/>
      <c r="H10" s="295"/>
      <c r="I10" s="290"/>
      <c r="J10" s="318"/>
      <c r="K10" s="341"/>
    </row>
    <row r="11" spans="2:11" ht="18" customHeight="1" thickBot="1">
      <c r="B11" s="120" t="s">
        <v>5</v>
      </c>
      <c r="C11" s="68" t="str">
        <f>Summary_data!T8</f>
        <v>1,611.4 M</v>
      </c>
      <c r="D11" s="117" t="str">
        <f>CONCATENATE(FIXED(L_Summary_data!$N$4,1)," M")</f>
        <v>134.4 M</v>
      </c>
      <c r="E11" s="5"/>
      <c r="F11" s="306" t="s">
        <v>74</v>
      </c>
      <c r="G11" s="315">
        <f>L_data!B$197</f>
        <v>209810</v>
      </c>
      <c r="H11" s="295"/>
      <c r="I11" s="289">
        <f>(L_data!B$197-L_data!B$198)/L_data!B$198</f>
        <v>0.058582535734287254</v>
      </c>
      <c r="J11" s="318">
        <f>L_data!B$196</f>
        <v>17484.166666666668</v>
      </c>
      <c r="K11" s="341"/>
    </row>
    <row r="12" spans="2:11" ht="18" customHeight="1" thickBot="1">
      <c r="B12" s="121" t="s">
        <v>6</v>
      </c>
      <c r="C12" s="119" t="str">
        <f>Summary_data!T9</f>
        <v>66.78 TB/day</v>
      </c>
      <c r="D12" s="119" t="str">
        <f>CONCATENATE(FIXED(L_Summary_data!$P$4,1)," TB/day")</f>
        <v>2.4 TB/day</v>
      </c>
      <c r="F12" s="314"/>
      <c r="G12" s="316"/>
      <c r="H12" s="317"/>
      <c r="I12" s="290"/>
      <c r="J12" s="319"/>
      <c r="K12" s="342"/>
    </row>
    <row r="13" spans="2:3" ht="21.75" customHeight="1">
      <c r="B13" s="122" t="s">
        <v>107</v>
      </c>
      <c r="C13" s="123"/>
    </row>
    <row r="14" ht="18" customHeight="1">
      <c r="B14" s="122" t="s">
        <v>108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30" customHeight="1"/>
    <row r="36" ht="30" customHeight="1"/>
  </sheetData>
  <sheetProtection/>
  <mergeCells count="28"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{f76fc2f7-e4e8-405a-9796-e615acc67c13}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{ac8497c0-3eff-4eaa-bb41-a088ba4c3dd6}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{f0d4725c-9724-4cb3-a30e-83bf60108f78}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fc2f7-e4e8-405a-9796-e615acc67c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ac8497c0-3eff-4eaa-bb41-a088ba4c3d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f0d4725c-9724-4cb3-a30e-83bf60108f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Y75"/>
  <sheetViews>
    <sheetView zoomScale="162" zoomScaleNormal="162" zoomScalePageLayoutView="0" workbookViewId="0" topLeftCell="A25">
      <selection activeCell="J63" sqref="J63"/>
    </sheetView>
  </sheetViews>
  <sheetFormatPr defaultColWidth="8.7109375" defaultRowHeight="12.75"/>
  <cols>
    <col min="1" max="2" width="6.00390625" style="0" customWidth="1"/>
    <col min="3" max="3" width="15.7109375" style="0" customWidth="1"/>
    <col min="4" max="4" width="22.421875" style="0" customWidth="1"/>
    <col min="5" max="5" width="15.7109375" style="0" customWidth="1"/>
    <col min="6" max="6" width="20.140625" style="0" customWidth="1"/>
    <col min="7" max="7" width="13.28125" style="0" customWidth="1"/>
    <col min="8" max="8" width="14.28125" style="0" customWidth="1"/>
    <col min="9" max="9" width="13.28125" style="0" customWidth="1"/>
    <col min="10" max="10" width="14.28125" style="0" customWidth="1"/>
    <col min="11" max="11" width="11.28125" style="0" customWidth="1"/>
    <col min="12" max="13" width="14.421875" style="0" customWidth="1"/>
    <col min="14" max="14" width="12.7109375" style="0" customWidth="1"/>
    <col min="15" max="15" width="10.28125" style="0" bestFit="1" customWidth="1"/>
    <col min="16" max="16" width="15.00390625" style="0" bestFit="1" customWidth="1"/>
    <col min="17" max="18" width="8.7109375" style="0" customWidth="1"/>
    <col min="19" max="19" width="47.7109375" style="0" customWidth="1"/>
    <col min="20" max="20" width="41.140625" style="0" customWidth="1"/>
    <col min="21" max="22" width="8.7109375" style="0" customWidth="1"/>
    <col min="23" max="23" width="19.140625" style="0" customWidth="1"/>
  </cols>
  <sheetData>
    <row r="1" spans="3:24" ht="39" customHeight="1">
      <c r="C1" s="344" t="s">
        <v>83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S1" t="s">
        <v>137</v>
      </c>
      <c r="T1" t="s">
        <v>139</v>
      </c>
      <c r="X1" t="s">
        <v>155</v>
      </c>
    </row>
    <row r="2" spans="1:25" ht="42" customHeight="1" thickBot="1">
      <c r="A2" s="178"/>
      <c r="B2" t="s">
        <v>142</v>
      </c>
      <c r="S2" t="s">
        <v>138</v>
      </c>
      <c r="T2" t="s">
        <v>116</v>
      </c>
      <c r="X2" t="s">
        <v>154</v>
      </c>
      <c r="Y2" t="s">
        <v>118</v>
      </c>
    </row>
    <row r="3" spans="3:20" ht="27" thickBot="1">
      <c r="C3" s="27" t="s">
        <v>43</v>
      </c>
      <c r="D3" s="28" t="s">
        <v>25</v>
      </c>
      <c r="E3" s="11" t="s">
        <v>21</v>
      </c>
      <c r="F3" s="28" t="s">
        <v>26</v>
      </c>
      <c r="G3" s="28" t="s">
        <v>22</v>
      </c>
      <c r="H3" s="28" t="s">
        <v>27</v>
      </c>
      <c r="I3" s="239" t="s">
        <v>140</v>
      </c>
      <c r="J3" s="239" t="s">
        <v>141</v>
      </c>
      <c r="K3" s="11" t="s">
        <v>28</v>
      </c>
      <c r="L3" s="11" t="s">
        <v>84</v>
      </c>
      <c r="M3" s="239" t="s">
        <v>136</v>
      </c>
      <c r="N3" s="31" t="s">
        <v>148</v>
      </c>
      <c r="O3" s="29" t="s">
        <v>29</v>
      </c>
      <c r="P3" s="29" t="s">
        <v>30</v>
      </c>
      <c r="Q3" s="29" t="s">
        <v>31</v>
      </c>
      <c r="S3" s="54" t="s">
        <v>77</v>
      </c>
      <c r="T3" s="55">
        <f>T13</f>
        <v>9855</v>
      </c>
    </row>
    <row r="4" spans="3:20" ht="13.5" thickBot="1">
      <c r="C4" s="23" t="s">
        <v>7</v>
      </c>
      <c r="D4" s="238">
        <v>789</v>
      </c>
      <c r="E4" s="238">
        <v>49138</v>
      </c>
      <c r="F4" s="238">
        <v>3859</v>
      </c>
      <c r="G4" s="155">
        <f>E4+F4</f>
        <v>52997</v>
      </c>
      <c r="H4" s="238">
        <v>67042</v>
      </c>
      <c r="I4" s="158">
        <v>22.121728</v>
      </c>
      <c r="J4" s="158">
        <v>649.16</v>
      </c>
      <c r="K4" s="156">
        <f>J4/365</f>
        <v>1.7785205479452053</v>
      </c>
      <c r="L4" s="158">
        <v>5008.96</v>
      </c>
      <c r="M4" s="158">
        <v>715.52</v>
      </c>
      <c r="N4" s="159">
        <v>16.407172</v>
      </c>
      <c r="O4" s="157">
        <f>$D32</f>
        <v>26.575335</v>
      </c>
      <c r="P4" s="157">
        <f>$D61</f>
        <v>2313.0587907771337</v>
      </c>
      <c r="Q4" s="156">
        <f>P4/365</f>
        <v>6.337147371992147</v>
      </c>
      <c r="S4" s="56" t="s">
        <v>1</v>
      </c>
      <c r="T4" s="57" t="str">
        <f>CONCATENATE(FIXED(T14/1000000,2)," M")</f>
        <v>4.13 M</v>
      </c>
    </row>
    <row r="5" spans="3:20" ht="13.5" thickBot="1">
      <c r="C5" s="23" t="s">
        <v>8</v>
      </c>
      <c r="D5" s="238">
        <v>115</v>
      </c>
      <c r="E5" s="238">
        <v>106949</v>
      </c>
      <c r="F5" s="238">
        <v>45466</v>
      </c>
      <c r="G5" s="155">
        <f aca="true" t="shared" si="0" ref="G5:G14">E5+F5</f>
        <v>152415</v>
      </c>
      <c r="H5" s="238">
        <v>161646</v>
      </c>
      <c r="I5" s="158">
        <v>7.093856</v>
      </c>
      <c r="J5" s="158">
        <v>2854.075556640625</v>
      </c>
      <c r="K5" s="156">
        <f aca="true" t="shared" si="1" ref="K5:K15">J5/365</f>
        <v>7.819385086686644</v>
      </c>
      <c r="L5" s="158">
        <v>6550.836700660107</v>
      </c>
      <c r="M5" s="158">
        <v>2696.966755723953</v>
      </c>
      <c r="N5" s="159">
        <v>6.277198</v>
      </c>
      <c r="O5" s="157">
        <f>$E32</f>
        <v>11.235903</v>
      </c>
      <c r="P5" s="157">
        <f>$E61</f>
        <v>4765.161105083115</v>
      </c>
      <c r="Q5" s="156">
        <f aca="true" t="shared" si="2" ref="Q5:Q15">P5/365</f>
        <v>13.055235904337302</v>
      </c>
      <c r="S5" s="56" t="s">
        <v>78</v>
      </c>
      <c r="T5" s="58" t="str">
        <f>CONCATENATE(FIXED(T15/1000000,2)," M")</f>
        <v>3.06 M</v>
      </c>
    </row>
    <row r="6" spans="3:20" ht="13.5" thickBot="1">
      <c r="C6" s="23" t="s">
        <v>9</v>
      </c>
      <c r="D6" s="238">
        <v>246</v>
      </c>
      <c r="E6" s="238">
        <v>19688</v>
      </c>
      <c r="F6" s="238">
        <v>396198</v>
      </c>
      <c r="G6" s="155">
        <f t="shared" si="0"/>
        <v>415886</v>
      </c>
      <c r="H6" s="238">
        <v>25193</v>
      </c>
      <c r="I6" s="158">
        <v>29.182441</v>
      </c>
      <c r="J6" s="158">
        <v>4.32376953125</v>
      </c>
      <c r="K6" s="156">
        <f t="shared" si="1"/>
        <v>0.011845943921232876</v>
      </c>
      <c r="L6" s="158">
        <v>16.43788675719678</v>
      </c>
      <c r="M6" s="158">
        <v>2.62029296875</v>
      </c>
      <c r="N6" s="159">
        <v>22.261301</v>
      </c>
      <c r="O6" s="157">
        <f>$F32</f>
        <v>348.314922</v>
      </c>
      <c r="P6" s="157">
        <f>$F61</f>
        <v>204.1554972513335</v>
      </c>
      <c r="Q6" s="156">
        <f t="shared" si="2"/>
        <v>0.5593301294557081</v>
      </c>
      <c r="S6" s="56" t="s">
        <v>79</v>
      </c>
      <c r="T6" s="57" t="str">
        <f>CONCATENATE(FIXED(J16/365,1)," TB/day")</f>
        <v>22.7 TB/day</v>
      </c>
    </row>
    <row r="7" spans="3:20" ht="13.5" thickBot="1">
      <c r="C7" s="23" t="s">
        <v>10</v>
      </c>
      <c r="D7" s="238">
        <v>1919</v>
      </c>
      <c r="E7" s="238">
        <v>93299</v>
      </c>
      <c r="F7" s="238">
        <v>40525</v>
      </c>
      <c r="G7" s="155">
        <f t="shared" si="0"/>
        <v>133824</v>
      </c>
      <c r="H7" s="238">
        <v>150117</v>
      </c>
      <c r="I7" s="158">
        <v>28.530633</v>
      </c>
      <c r="J7" s="158">
        <v>610.320869140625</v>
      </c>
      <c r="K7" s="156">
        <f t="shared" si="1"/>
        <v>1.6721119702482876</v>
      </c>
      <c r="L7" s="158">
        <v>2098.712905831621</v>
      </c>
      <c r="M7" s="158">
        <v>561.480048828125</v>
      </c>
      <c r="N7" s="159">
        <v>36.68252</v>
      </c>
      <c r="O7" s="157">
        <f>$G32</f>
        <v>297.731084</v>
      </c>
      <c r="P7" s="157">
        <f>$G61</f>
        <v>5034.058862325268</v>
      </c>
      <c r="Q7" s="156">
        <f t="shared" si="2"/>
        <v>13.791942088562378</v>
      </c>
      <c r="S7" s="56" t="s">
        <v>4</v>
      </c>
      <c r="T7" s="59" t="str">
        <f>CONCATENATE(FIXED(L16/1024,1)," PB")</f>
        <v>27.4 PB</v>
      </c>
    </row>
    <row r="8" spans="3:20" ht="13.5" thickBot="1">
      <c r="C8" s="23" t="s">
        <v>11</v>
      </c>
      <c r="D8" s="238">
        <v>459</v>
      </c>
      <c r="E8" s="238">
        <v>16568</v>
      </c>
      <c r="F8" s="238">
        <v>10199</v>
      </c>
      <c r="G8" s="155">
        <f t="shared" si="0"/>
        <v>26767</v>
      </c>
      <c r="H8" s="238">
        <v>24485</v>
      </c>
      <c r="I8" s="158">
        <v>0.919498</v>
      </c>
      <c r="J8" s="158">
        <v>6.1</v>
      </c>
      <c r="K8" s="156">
        <f t="shared" si="1"/>
        <v>0.016712328767123287</v>
      </c>
      <c r="L8" s="158">
        <v>27.6</v>
      </c>
      <c r="M8" s="158">
        <v>3.8811328125</v>
      </c>
      <c r="N8" s="159">
        <v>1.686101</v>
      </c>
      <c r="O8" s="157">
        <f>$H32</f>
        <v>7.114441</v>
      </c>
      <c r="P8" s="157">
        <f>$H61</f>
        <v>12.59196266317027</v>
      </c>
      <c r="Q8" s="156">
        <f t="shared" si="2"/>
        <v>0.03449852784430211</v>
      </c>
      <c r="S8" s="56" t="s">
        <v>5</v>
      </c>
      <c r="T8" s="60" t="str">
        <f>CONCATENATE(FIXED(O16+L_Summary_data!N4,1)," M")</f>
        <v>1,611.4 M</v>
      </c>
    </row>
    <row r="9" spans="3:20" ht="13.5" thickBot="1">
      <c r="C9" s="25" t="s">
        <v>18</v>
      </c>
      <c r="D9" s="238">
        <v>629</v>
      </c>
      <c r="E9" s="238">
        <v>153371</v>
      </c>
      <c r="F9" s="238">
        <v>307599</v>
      </c>
      <c r="G9" s="155">
        <f t="shared" si="0"/>
        <v>460970</v>
      </c>
      <c r="H9" s="238">
        <v>209718</v>
      </c>
      <c r="I9" s="158">
        <v>28.645545</v>
      </c>
      <c r="J9" s="158">
        <v>507.096572265625</v>
      </c>
      <c r="K9" s="156">
        <f t="shared" si="1"/>
        <v>1.3893056774400685</v>
      </c>
      <c r="L9" s="158">
        <v>3005.56</v>
      </c>
      <c r="M9" s="158">
        <v>269.5256640625</v>
      </c>
      <c r="N9" s="159">
        <v>36.784789</v>
      </c>
      <c r="O9" s="157">
        <f>$I32</f>
        <v>249.383788</v>
      </c>
      <c r="P9" s="157">
        <f>$I61</f>
        <v>4591.978349684738</v>
      </c>
      <c r="Q9" s="156">
        <f t="shared" si="2"/>
        <v>12.580762601875993</v>
      </c>
      <c r="S9" s="56" t="s">
        <v>80</v>
      </c>
      <c r="T9" s="57" t="str">
        <f>CONCATENATE(FIXED(P16/365+L_Summary_data!O4/365,2)," TB/day")</f>
        <v>66.78 TB/day</v>
      </c>
    </row>
    <row r="10" spans="3:17" ht="12.75">
      <c r="C10" s="25" t="s">
        <v>177</v>
      </c>
      <c r="D10" s="238">
        <v>1359</v>
      </c>
      <c r="E10" s="238">
        <v>136357</v>
      </c>
      <c r="F10" s="238">
        <v>1043233</v>
      </c>
      <c r="G10" s="155">
        <f t="shared" si="0"/>
        <v>1179590</v>
      </c>
      <c r="H10" s="238">
        <v>217721</v>
      </c>
      <c r="I10" s="158">
        <v>77.738186</v>
      </c>
      <c r="J10" s="158">
        <v>1457.753134765625</v>
      </c>
      <c r="K10" s="156">
        <f t="shared" si="1"/>
        <v>3.9938442048373286</v>
      </c>
      <c r="L10" s="158">
        <v>5239.006133378593</v>
      </c>
      <c r="M10" s="158">
        <v>302.0715625</v>
      </c>
      <c r="N10" s="159">
        <v>15.481513</v>
      </c>
      <c r="O10" s="157">
        <f>$J32</f>
        <v>239.952279</v>
      </c>
      <c r="P10" s="157">
        <f>$J61</f>
        <v>3807.471474384752</v>
      </c>
      <c r="Q10" s="156">
        <f t="shared" si="2"/>
        <v>10.431428696944526</v>
      </c>
    </row>
    <row r="11" spans="3:17" ht="12.75">
      <c r="C11" s="25" t="s">
        <v>12</v>
      </c>
      <c r="D11" s="238">
        <v>700</v>
      </c>
      <c r="E11" s="238">
        <v>541879</v>
      </c>
      <c r="F11" s="238">
        <v>7775</v>
      </c>
      <c r="G11" s="155">
        <f t="shared" si="0"/>
        <v>549654</v>
      </c>
      <c r="H11" s="238">
        <v>798789</v>
      </c>
      <c r="I11" s="158">
        <v>13.734057</v>
      </c>
      <c r="J11" s="158">
        <v>307.301845703125</v>
      </c>
      <c r="K11" s="156">
        <f t="shared" si="1"/>
        <v>0.8419228649400685</v>
      </c>
      <c r="L11" s="158">
        <v>619.31</v>
      </c>
      <c r="M11" s="158">
        <v>243.0117578125</v>
      </c>
      <c r="N11" s="159">
        <v>39.0086</v>
      </c>
      <c r="O11" s="157">
        <f>$K32</f>
        <v>157.131425</v>
      </c>
      <c r="P11" s="157">
        <f>$K61</f>
        <v>542.4003976383194</v>
      </c>
      <c r="Q11" s="156">
        <f t="shared" si="2"/>
        <v>1.4860284866803273</v>
      </c>
    </row>
    <row r="12" spans="3:20" ht="13.5" thickBot="1">
      <c r="C12" s="25" t="s">
        <v>23</v>
      </c>
      <c r="D12" s="238">
        <v>184</v>
      </c>
      <c r="E12" s="138"/>
      <c r="F12" s="238">
        <v>47937</v>
      </c>
      <c r="G12" s="155">
        <f t="shared" si="0"/>
        <v>47937</v>
      </c>
      <c r="H12" s="238"/>
      <c r="I12" s="158">
        <v>72.995246</v>
      </c>
      <c r="J12" s="158">
        <v>1785.8560000000002</v>
      </c>
      <c r="K12" s="156">
        <f t="shared" si="1"/>
        <v>4.892756164383562</v>
      </c>
      <c r="L12" s="158">
        <v>4931.584</v>
      </c>
      <c r="M12" s="158">
        <v>682.5850744140625</v>
      </c>
      <c r="N12" s="159">
        <v>13.16593</v>
      </c>
      <c r="O12" s="157">
        <f>$L32</f>
        <v>55.382038</v>
      </c>
      <c r="P12" s="157">
        <f>$L61</f>
        <v>1277.2397893217526</v>
      </c>
      <c r="Q12" s="156">
        <f t="shared" si="2"/>
        <v>3.4992870940321987</v>
      </c>
      <c r="T12" t="s">
        <v>117</v>
      </c>
    </row>
    <row r="13" spans="3:22" ht="13.5" thickBot="1">
      <c r="C13" s="25" t="s">
        <v>13</v>
      </c>
      <c r="D13" s="238">
        <v>1386</v>
      </c>
      <c r="E13" s="238">
        <v>34391</v>
      </c>
      <c r="F13" s="238">
        <v>6667</v>
      </c>
      <c r="G13" s="155">
        <f t="shared" si="0"/>
        <v>41058</v>
      </c>
      <c r="H13" s="238">
        <v>46775</v>
      </c>
      <c r="I13" s="158">
        <v>0.381701</v>
      </c>
      <c r="J13" s="158">
        <v>20.701494140625</v>
      </c>
      <c r="K13" s="156">
        <f t="shared" si="1"/>
        <v>0.056716422303082194</v>
      </c>
      <c r="L13" s="158">
        <v>203.05</v>
      </c>
      <c r="M13" s="158">
        <v>6.222900390625</v>
      </c>
      <c r="N13" s="159">
        <v>0.122598</v>
      </c>
      <c r="O13" s="157">
        <f>$M32</f>
        <v>34.901304</v>
      </c>
      <c r="P13" s="157">
        <f>$M61</f>
        <v>369.99535867868644</v>
      </c>
      <c r="Q13" s="156">
        <f t="shared" si="2"/>
        <v>1.013685914188182</v>
      </c>
      <c r="S13" s="276" t="s">
        <v>77</v>
      </c>
      <c r="T13" s="287">
        <v>9855</v>
      </c>
      <c r="V13" t="s">
        <v>151</v>
      </c>
    </row>
    <row r="14" spans="3:22" ht="13.5" thickBot="1">
      <c r="C14" s="25" t="s">
        <v>16</v>
      </c>
      <c r="D14" s="238">
        <v>1190</v>
      </c>
      <c r="E14" s="238">
        <v>27758</v>
      </c>
      <c r="F14" s="238">
        <v>53365</v>
      </c>
      <c r="G14" s="155">
        <f t="shared" si="0"/>
        <v>81123</v>
      </c>
      <c r="H14" s="238">
        <v>40086</v>
      </c>
      <c r="I14" s="158">
        <v>2.391764</v>
      </c>
      <c r="J14" s="158">
        <v>73.14810546875</v>
      </c>
      <c r="K14" s="156">
        <f t="shared" si="1"/>
        <v>0.20040576840753427</v>
      </c>
      <c r="L14" s="158">
        <v>314.8735548427951</v>
      </c>
      <c r="M14" s="158">
        <v>84.45791015625</v>
      </c>
      <c r="N14" s="159">
        <v>3.823137</v>
      </c>
      <c r="O14" s="157">
        <f>$N32</f>
        <v>48.444205</v>
      </c>
      <c r="P14" s="157">
        <f>$N61</f>
        <v>575.228783327174</v>
      </c>
      <c r="Q14" s="156">
        <f t="shared" si="2"/>
        <v>1.575969269389518</v>
      </c>
      <c r="S14" s="277" t="s">
        <v>1</v>
      </c>
      <c r="T14" s="288">
        <v>4126882</v>
      </c>
      <c r="V14" t="s">
        <v>149</v>
      </c>
    </row>
    <row r="15" spans="3:22" ht="13.5" thickBot="1">
      <c r="C15" s="25" t="s">
        <v>14</v>
      </c>
      <c r="D15" s="238">
        <v>349</v>
      </c>
      <c r="E15" s="238">
        <v>83337</v>
      </c>
      <c r="F15" s="238">
        <v>76496</v>
      </c>
      <c r="G15" s="155">
        <f>E15+F15</f>
        <v>159833</v>
      </c>
      <c r="H15" s="238">
        <v>103800</v>
      </c>
      <c r="I15" s="158">
        <v>6.9E-05</v>
      </c>
      <c r="J15" s="158">
        <v>2.45314453125</v>
      </c>
      <c r="K15" s="156">
        <f t="shared" si="1"/>
        <v>0.0067209439212328765</v>
      </c>
      <c r="L15" s="158">
        <v>6.33394758868416</v>
      </c>
      <c r="M15" s="158">
        <v>0.211416015625</v>
      </c>
      <c r="N15" s="159">
        <v>6.2E-05</v>
      </c>
      <c r="O15" s="157">
        <f>$O32</f>
        <v>0.897332</v>
      </c>
      <c r="P15" s="157">
        <f>$O61</f>
        <v>8.540635010351247</v>
      </c>
      <c r="Q15" s="156">
        <f t="shared" si="2"/>
        <v>0.02339900002835958</v>
      </c>
      <c r="S15" s="277" t="s">
        <v>78</v>
      </c>
      <c r="T15" s="288">
        <v>3055959</v>
      </c>
      <c r="V15" t="s">
        <v>150</v>
      </c>
    </row>
    <row r="16" spans="1:22" s="3" customFormat="1" ht="13.5" thickBot="1">
      <c r="A16"/>
      <c r="B16"/>
      <c r="C16" s="26" t="s">
        <v>15</v>
      </c>
      <c r="D16" s="8">
        <f aca="true" t="shared" si="3" ref="D16:J16">SUM(D4:D15)</f>
        <v>9325</v>
      </c>
      <c r="E16" s="8">
        <f t="shared" si="3"/>
        <v>1262735</v>
      </c>
      <c r="F16" s="8">
        <f t="shared" si="3"/>
        <v>2039319</v>
      </c>
      <c r="G16" s="8">
        <f t="shared" si="3"/>
        <v>3302054</v>
      </c>
      <c r="H16" s="8">
        <f t="shared" si="3"/>
        <v>1845372</v>
      </c>
      <c r="I16" s="9">
        <f t="shared" si="3"/>
        <v>283.7347240000001</v>
      </c>
      <c r="J16" s="9">
        <f t="shared" si="3"/>
        <v>8278.2904921875</v>
      </c>
      <c r="K16" s="10">
        <f>J16/365</f>
        <v>22.680247923801367</v>
      </c>
      <c r="L16" s="9">
        <f>SUM(L4:L15)</f>
        <v>28022.265129058993</v>
      </c>
      <c r="M16" s="9">
        <f>SUM(M4:M15)</f>
        <v>5568.554515684891</v>
      </c>
      <c r="N16" s="9">
        <f>SUM(N4:N15)</f>
        <v>191.70092100000002</v>
      </c>
      <c r="O16" s="9">
        <f>SUM(O4:O15)</f>
        <v>1477.0640560000002</v>
      </c>
      <c r="P16" s="9">
        <f>SUM(P4:P15)</f>
        <v>23501.881006145795</v>
      </c>
      <c r="S16" s="277" t="s">
        <v>79</v>
      </c>
      <c r="T16" s="57" t="str">
        <f>CONCATENATE(FIXED(J16*1024/365,1)," GB/day")</f>
        <v>23,224.6 GB/day</v>
      </c>
      <c r="U16"/>
      <c r="V16"/>
    </row>
    <row r="17" spans="1:21" s="3" customFormat="1" ht="13.5" thickBot="1">
      <c r="A17" s="275"/>
      <c r="B17" s="275"/>
      <c r="C17" s="283" t="s">
        <v>162</v>
      </c>
      <c r="D17" s="283" t="s">
        <v>163</v>
      </c>
      <c r="E17" s="283" t="s">
        <v>164</v>
      </c>
      <c r="F17" s="283" t="s">
        <v>165</v>
      </c>
      <c r="G17" s="283"/>
      <c r="H17" s="285" t="s">
        <v>164</v>
      </c>
      <c r="I17" s="284" t="s">
        <v>166</v>
      </c>
      <c r="J17" s="284" t="s">
        <v>167</v>
      </c>
      <c r="K17" s="283"/>
      <c r="L17" s="283" t="s">
        <v>168</v>
      </c>
      <c r="M17" s="284" t="s">
        <v>167</v>
      </c>
      <c r="N17" s="284" t="s">
        <v>167</v>
      </c>
      <c r="O17" s="283"/>
      <c r="P17" s="283"/>
      <c r="Q17" s="283"/>
      <c r="S17" s="277" t="s">
        <v>4</v>
      </c>
      <c r="T17" s="59" t="str">
        <f>CONCATENATE(FIXED(L16,1)," TB")</f>
        <v>28,022.3 TB</v>
      </c>
      <c r="U17"/>
    </row>
    <row r="18" spans="1:21" s="3" customFormat="1" ht="13.5" thickBot="1">
      <c r="A18"/>
      <c r="B18"/>
      <c r="L18" s="3" t="s">
        <v>95</v>
      </c>
      <c r="S18" s="277" t="s">
        <v>5</v>
      </c>
      <c r="T18" s="60" t="str">
        <f>CONCATENATE(FIXED(O16+L_Summary_data!N4,1)," M")</f>
        <v>1,611.4 M</v>
      </c>
      <c r="U18"/>
    </row>
    <row r="19" spans="3:20" ht="13.5" thickBot="1">
      <c r="C19" s="42" t="s">
        <v>73</v>
      </c>
      <c r="E19" t="s">
        <v>176</v>
      </c>
      <c r="H19" s="3"/>
      <c r="I19" s="3"/>
      <c r="K19" s="3"/>
      <c r="L19" s="3"/>
      <c r="M19" s="3"/>
      <c r="S19" s="277" t="s">
        <v>80</v>
      </c>
      <c r="T19" s="57" t="str">
        <f>CONCATENATE(FIXED((P16+L_Summary_data!O4)*1024/365,1)," GB/day")</f>
        <v>68,386.2 GB/day</v>
      </c>
    </row>
    <row r="20" spans="3:18" ht="12.75">
      <c r="C20" t="s">
        <v>54</v>
      </c>
      <c r="D20" s="23" t="s">
        <v>7</v>
      </c>
      <c r="E20" s="23" t="s">
        <v>8</v>
      </c>
      <c r="F20" s="23" t="s">
        <v>9</v>
      </c>
      <c r="G20" s="23" t="s">
        <v>10</v>
      </c>
      <c r="H20" s="52" t="s">
        <v>11</v>
      </c>
      <c r="I20" s="25" t="s">
        <v>18</v>
      </c>
      <c r="J20" s="25" t="s">
        <v>177</v>
      </c>
      <c r="K20" s="25" t="s">
        <v>12</v>
      </c>
      <c r="L20" s="25" t="s">
        <v>23</v>
      </c>
      <c r="M20" s="25" t="s">
        <v>13</v>
      </c>
      <c r="N20" s="25" t="s">
        <v>16</v>
      </c>
      <c r="O20" s="25" t="s">
        <v>14</v>
      </c>
      <c r="P20" s="26" t="s">
        <v>15</v>
      </c>
      <c r="R20" s="53"/>
    </row>
    <row r="21" spans="3:16" ht="12.75">
      <c r="C21" s="32" t="s">
        <v>66</v>
      </c>
      <c r="D21" s="170">
        <f aca="true" t="shared" si="4" ref="D21:O21">D35/1000000</f>
        <v>0</v>
      </c>
      <c r="E21" s="170">
        <f t="shared" si="4"/>
        <v>0</v>
      </c>
      <c r="F21" s="170">
        <f t="shared" si="4"/>
        <v>0</v>
      </c>
      <c r="G21" s="170">
        <f t="shared" si="4"/>
        <v>22.91734</v>
      </c>
      <c r="H21" s="170">
        <f t="shared" si="4"/>
        <v>0</v>
      </c>
      <c r="I21" s="170">
        <f t="shared" si="4"/>
        <v>0.148617</v>
      </c>
      <c r="J21" s="170">
        <f t="shared" si="4"/>
        <v>33.570419</v>
      </c>
      <c r="K21" s="170">
        <f t="shared" si="4"/>
        <v>0.642341</v>
      </c>
      <c r="L21" s="170">
        <f t="shared" si="4"/>
        <v>0</v>
      </c>
      <c r="M21" s="170">
        <f t="shared" si="4"/>
        <v>0</v>
      </c>
      <c r="N21" s="170">
        <f t="shared" si="4"/>
        <v>0</v>
      </c>
      <c r="O21" s="170">
        <f t="shared" si="4"/>
        <v>0</v>
      </c>
      <c r="P21" s="170">
        <f>SUM(D21:O21)</f>
        <v>57.278717</v>
      </c>
    </row>
    <row r="22" spans="3:19" ht="12.75">
      <c r="C22" s="32" t="s">
        <v>44</v>
      </c>
      <c r="D22" s="170">
        <f aca="true" t="shared" si="5" ref="D22:O22">D36/1000000</f>
        <v>3.571884</v>
      </c>
      <c r="E22" s="170">
        <f t="shared" si="5"/>
        <v>0.30387</v>
      </c>
      <c r="F22" s="170">
        <f t="shared" si="5"/>
        <v>0</v>
      </c>
      <c r="G22" s="170">
        <f t="shared" si="5"/>
        <v>38.74758</v>
      </c>
      <c r="H22" s="170">
        <f t="shared" si="5"/>
        <v>10.177527</v>
      </c>
      <c r="I22" s="170">
        <f t="shared" si="5"/>
        <v>16.757476</v>
      </c>
      <c r="J22" s="170">
        <f t="shared" si="5"/>
        <v>47.73614</v>
      </c>
      <c r="K22" s="170">
        <f t="shared" si="5"/>
        <v>10.732725</v>
      </c>
      <c r="L22" s="170">
        <f t="shared" si="5"/>
        <v>10.672894</v>
      </c>
      <c r="M22" s="170">
        <f t="shared" si="5"/>
        <v>0.399323</v>
      </c>
      <c r="N22" s="170">
        <f t="shared" si="5"/>
        <v>16.487646</v>
      </c>
      <c r="O22" s="170">
        <f t="shared" si="5"/>
        <v>0.074131</v>
      </c>
      <c r="P22" s="170">
        <f>SUM(D22:O22)</f>
        <v>155.661196</v>
      </c>
      <c r="S22" s="130" t="s">
        <v>112</v>
      </c>
    </row>
    <row r="23" spans="3:16" ht="12.75">
      <c r="C23" s="32" t="s">
        <v>45</v>
      </c>
      <c r="D23" s="170">
        <f aca="true" t="shared" si="6" ref="D23:O23">D37/1000000</f>
        <v>5.1073</v>
      </c>
      <c r="E23" s="170">
        <f t="shared" si="6"/>
        <v>0.472857</v>
      </c>
      <c r="F23" s="170">
        <f t="shared" si="6"/>
        <v>37.05806</v>
      </c>
      <c r="G23" s="170">
        <f t="shared" si="6"/>
        <v>54.500664</v>
      </c>
      <c r="H23" s="170">
        <f t="shared" si="6"/>
        <v>5.677475</v>
      </c>
      <c r="I23" s="170">
        <f t="shared" si="6"/>
        <v>38.827043</v>
      </c>
      <c r="J23" s="170">
        <f t="shared" si="6"/>
        <v>47.205446</v>
      </c>
      <c r="K23" s="170">
        <f t="shared" si="6"/>
        <v>17.247733</v>
      </c>
      <c r="L23" s="170">
        <f t="shared" si="6"/>
        <v>8.655132</v>
      </c>
      <c r="M23" s="170">
        <f t="shared" si="6"/>
        <v>7.69942</v>
      </c>
      <c r="N23" s="170">
        <f t="shared" si="6"/>
        <v>31.722079</v>
      </c>
      <c r="O23" s="170">
        <f t="shared" si="6"/>
        <v>0.49062</v>
      </c>
      <c r="P23" s="170">
        <f aca="true" t="shared" si="7" ref="P23:P29">SUM(D23:O23)</f>
        <v>254.66382900000002</v>
      </c>
    </row>
    <row r="24" spans="3:16" ht="12.75">
      <c r="C24" s="32" t="s">
        <v>46</v>
      </c>
      <c r="D24" s="170">
        <f aca="true" t="shared" si="8" ref="D24:O24">D38/1000000</f>
        <v>4.406202</v>
      </c>
      <c r="E24" s="170">
        <f t="shared" si="8"/>
        <v>0.101671</v>
      </c>
      <c r="F24" s="170">
        <f t="shared" si="8"/>
        <v>52.599871</v>
      </c>
      <c r="G24" s="170">
        <f t="shared" si="8"/>
        <v>84.223158</v>
      </c>
      <c r="H24" s="170">
        <f t="shared" si="8"/>
        <v>0.659405</v>
      </c>
      <c r="I24" s="170">
        <f t="shared" si="8"/>
        <v>51.945273</v>
      </c>
      <c r="J24" s="170">
        <f t="shared" si="8"/>
        <v>79.756398</v>
      </c>
      <c r="K24" s="170">
        <f t="shared" si="8"/>
        <v>22.897913</v>
      </c>
      <c r="L24" s="170">
        <f t="shared" si="8"/>
        <v>12.42596</v>
      </c>
      <c r="M24" s="170">
        <f t="shared" si="8"/>
        <v>49.882875</v>
      </c>
      <c r="N24" s="170">
        <f t="shared" si="8"/>
        <v>50.334622</v>
      </c>
      <c r="O24" s="170">
        <f t="shared" si="8"/>
        <v>3.566385</v>
      </c>
      <c r="P24" s="170">
        <f t="shared" si="7"/>
        <v>412.799733</v>
      </c>
    </row>
    <row r="25" spans="3:23" ht="12.75">
      <c r="C25" s="32" t="s">
        <v>47</v>
      </c>
      <c r="D25" s="170">
        <f aca="true" t="shared" si="9" ref="D25:O25">D39/1000000</f>
        <v>5.042249</v>
      </c>
      <c r="E25" s="170">
        <f t="shared" si="9"/>
        <v>0.368609</v>
      </c>
      <c r="F25" s="170">
        <f t="shared" si="9"/>
        <v>112.330657</v>
      </c>
      <c r="G25" s="170">
        <f t="shared" si="9"/>
        <v>133.841386</v>
      </c>
      <c r="H25" s="170">
        <f t="shared" si="9"/>
        <v>0.720133</v>
      </c>
      <c r="I25" s="170">
        <f t="shared" si="9"/>
        <v>63.965963</v>
      </c>
      <c r="J25" s="170">
        <f t="shared" si="9"/>
        <v>98.766037</v>
      </c>
      <c r="K25" s="170">
        <f t="shared" si="9"/>
        <v>20.180632</v>
      </c>
      <c r="L25" s="170">
        <f t="shared" si="9"/>
        <v>20.538207</v>
      </c>
      <c r="M25" s="170">
        <f t="shared" si="9"/>
        <v>3.194725</v>
      </c>
      <c r="N25" s="170">
        <f t="shared" si="9"/>
        <v>38.27294</v>
      </c>
      <c r="O25" s="170">
        <f t="shared" si="9"/>
        <v>4.158651</v>
      </c>
      <c r="P25" s="170">
        <f t="shared" si="7"/>
        <v>501.38018900000003</v>
      </c>
      <c r="W25" s="41"/>
    </row>
    <row r="26" spans="3:16" ht="12.75">
      <c r="C26" s="32" t="s">
        <v>48</v>
      </c>
      <c r="D26" s="170">
        <f aca="true" t="shared" si="10" ref="D26:O26">D40/1000000</f>
        <v>10.626249</v>
      </c>
      <c r="E26" s="170">
        <f t="shared" si="10"/>
        <v>0.846248</v>
      </c>
      <c r="F26" s="170">
        <f t="shared" si="10"/>
        <v>120.025964</v>
      </c>
      <c r="G26" s="170">
        <f t="shared" si="10"/>
        <v>168.676747</v>
      </c>
      <c r="H26" s="170">
        <f t="shared" si="10"/>
        <v>0.791085</v>
      </c>
      <c r="I26" s="170">
        <f t="shared" si="10"/>
        <v>70.588599</v>
      </c>
      <c r="J26" s="170">
        <f t="shared" si="10"/>
        <v>95.24611</v>
      </c>
      <c r="K26" s="170">
        <f t="shared" si="10"/>
        <v>24.339347</v>
      </c>
      <c r="L26" s="170">
        <f t="shared" si="10"/>
        <v>16.768246</v>
      </c>
      <c r="M26" s="170">
        <f t="shared" si="10"/>
        <v>6.706193</v>
      </c>
      <c r="N26" s="170">
        <f t="shared" si="10"/>
        <v>54.068234</v>
      </c>
      <c r="O26" s="170">
        <f t="shared" si="10"/>
        <v>1.599327</v>
      </c>
      <c r="P26" s="170">
        <f t="shared" si="7"/>
        <v>570.282349</v>
      </c>
    </row>
    <row r="27" spans="3:16" ht="12.75">
      <c r="C27" s="32" t="s">
        <v>49</v>
      </c>
      <c r="D27" s="170">
        <f aca="true" t="shared" si="11" ref="D27:O27">D41/1000000</f>
        <v>10.212371</v>
      </c>
      <c r="E27" s="170">
        <f t="shared" si="11"/>
        <v>0.673608</v>
      </c>
      <c r="F27" s="170">
        <f t="shared" si="11"/>
        <v>120.930572</v>
      </c>
      <c r="G27" s="170">
        <f t="shared" si="11"/>
        <v>209.906859</v>
      </c>
      <c r="H27" s="170">
        <f t="shared" si="11"/>
        <v>4.434948</v>
      </c>
      <c r="I27" s="170">
        <f t="shared" si="11"/>
        <v>111.743424</v>
      </c>
      <c r="J27" s="170">
        <f t="shared" si="11"/>
        <v>135.286498</v>
      </c>
      <c r="K27" s="170">
        <f t="shared" si="11"/>
        <v>38.223085</v>
      </c>
      <c r="L27" s="170">
        <f t="shared" si="11"/>
        <v>18.29376</v>
      </c>
      <c r="M27" s="170">
        <f t="shared" si="11"/>
        <v>5.756697</v>
      </c>
      <c r="N27" s="170">
        <f t="shared" si="11"/>
        <v>89.251096</v>
      </c>
      <c r="O27" s="170">
        <f t="shared" si="11"/>
        <v>4.687222</v>
      </c>
      <c r="P27" s="170">
        <f t="shared" si="7"/>
        <v>749.4001400000001</v>
      </c>
    </row>
    <row r="28" spans="3:16" ht="12.75">
      <c r="C28" s="32" t="s">
        <v>50</v>
      </c>
      <c r="D28" s="170">
        <f aca="true" t="shared" si="12" ref="D28:O32">D42/1000000</f>
        <v>15.472293</v>
      </c>
      <c r="E28" s="170">
        <f t="shared" si="12"/>
        <v>1.110146</v>
      </c>
      <c r="F28" s="170">
        <f t="shared" si="12"/>
        <v>144.293748</v>
      </c>
      <c r="G28" s="170">
        <f t="shared" si="12"/>
        <v>283.255958</v>
      </c>
      <c r="H28" s="170">
        <f t="shared" si="12"/>
        <v>4.498352</v>
      </c>
      <c r="I28" s="170">
        <f t="shared" si="12"/>
        <v>127.080485</v>
      </c>
      <c r="J28" s="170">
        <f t="shared" si="12"/>
        <v>196.137679</v>
      </c>
      <c r="K28" s="170">
        <f t="shared" si="12"/>
        <v>67.730322</v>
      </c>
      <c r="L28" s="170">
        <f t="shared" si="12"/>
        <v>27.464272</v>
      </c>
      <c r="M28" s="170">
        <f t="shared" si="12"/>
        <v>13.607626</v>
      </c>
      <c r="N28" s="170">
        <f t="shared" si="12"/>
        <v>71.263045</v>
      </c>
      <c r="O28" s="170">
        <f t="shared" si="12"/>
        <v>6.392213</v>
      </c>
      <c r="P28" s="170">
        <f t="shared" si="7"/>
        <v>958.306139</v>
      </c>
    </row>
    <row r="29" spans="3:16" ht="12.75">
      <c r="C29" s="32" t="s">
        <v>52</v>
      </c>
      <c r="D29" s="170">
        <f t="shared" si="12"/>
        <v>15.943277</v>
      </c>
      <c r="E29" s="170">
        <f t="shared" si="12"/>
        <v>2.00086</v>
      </c>
      <c r="F29" s="170">
        <f t="shared" si="12"/>
        <v>172.036391</v>
      </c>
      <c r="G29" s="170">
        <f t="shared" si="12"/>
        <v>405.060654</v>
      </c>
      <c r="H29" s="170">
        <f t="shared" si="12"/>
        <v>6.384325</v>
      </c>
      <c r="I29" s="170">
        <f t="shared" si="12"/>
        <v>163.276446</v>
      </c>
      <c r="J29" s="170">
        <f t="shared" si="12"/>
        <v>360.644547</v>
      </c>
      <c r="K29" s="170">
        <f t="shared" si="12"/>
        <v>70.647366</v>
      </c>
      <c r="L29" s="170">
        <f t="shared" si="12"/>
        <v>56.956518</v>
      </c>
      <c r="M29" s="170">
        <f t="shared" si="12"/>
        <v>13.084823</v>
      </c>
      <c r="N29" s="170">
        <f t="shared" si="12"/>
        <v>77.176447</v>
      </c>
      <c r="O29" s="170">
        <f t="shared" si="12"/>
        <v>7.651738</v>
      </c>
      <c r="P29" s="170">
        <f t="shared" si="7"/>
        <v>1350.863392</v>
      </c>
    </row>
    <row r="30" spans="3:16" ht="12.75">
      <c r="C30" s="32" t="s">
        <v>85</v>
      </c>
      <c r="D30" s="170">
        <f t="shared" si="12"/>
        <v>18.483862</v>
      </c>
      <c r="E30" s="170">
        <f t="shared" si="12"/>
        <v>5.180425</v>
      </c>
      <c r="F30" s="170">
        <f t="shared" si="12"/>
        <v>316.508622</v>
      </c>
      <c r="G30" s="170">
        <f t="shared" si="12"/>
        <v>409.163992</v>
      </c>
      <c r="H30" s="170">
        <f t="shared" si="12"/>
        <v>3.932989</v>
      </c>
      <c r="I30" s="170">
        <f t="shared" si="12"/>
        <v>174.590976</v>
      </c>
      <c r="J30" s="170">
        <f t="shared" si="12"/>
        <v>230.713118</v>
      </c>
      <c r="K30" s="170">
        <f t="shared" si="12"/>
        <v>82.185432</v>
      </c>
      <c r="L30" s="170">
        <f t="shared" si="12"/>
        <v>65.432243</v>
      </c>
      <c r="M30" s="170">
        <f t="shared" si="12"/>
        <v>31.550469</v>
      </c>
      <c r="N30" s="170">
        <f t="shared" si="12"/>
        <v>93.017982</v>
      </c>
      <c r="O30" s="170">
        <f t="shared" si="12"/>
        <v>5.787392</v>
      </c>
      <c r="P30" s="170">
        <f>SUM(D30:O30)</f>
        <v>1436.5475020000001</v>
      </c>
    </row>
    <row r="31" spans="3:16" ht="12.75">
      <c r="C31" s="32" t="s">
        <v>109</v>
      </c>
      <c r="D31" s="170">
        <f t="shared" si="12"/>
        <v>31.037472</v>
      </c>
      <c r="E31" s="170">
        <f t="shared" si="12"/>
        <v>6.667925</v>
      </c>
      <c r="F31" s="170">
        <f t="shared" si="12"/>
        <v>384.034918</v>
      </c>
      <c r="G31" s="170">
        <f t="shared" si="12"/>
        <v>257.503303</v>
      </c>
      <c r="H31" s="170">
        <f t="shared" si="12"/>
        <v>6.87018</v>
      </c>
      <c r="I31" s="170">
        <f t="shared" si="12"/>
        <v>208.186137</v>
      </c>
      <c r="J31" s="170">
        <f t="shared" si="12"/>
        <v>107.761906</v>
      </c>
      <c r="K31" s="170">
        <f t="shared" si="12"/>
        <v>102.272879</v>
      </c>
      <c r="L31" s="170">
        <f t="shared" si="12"/>
        <v>47.917738</v>
      </c>
      <c r="M31" s="170">
        <f t="shared" si="12"/>
        <v>26.890238</v>
      </c>
      <c r="N31" s="170">
        <f t="shared" si="12"/>
        <v>87.788123</v>
      </c>
      <c r="O31" s="170">
        <f t="shared" si="12"/>
        <v>3.555455</v>
      </c>
      <c r="P31" s="170">
        <f>SUM(D31:O31)</f>
        <v>1270.486274</v>
      </c>
    </row>
    <row r="32" spans="3:16" ht="12.75">
      <c r="C32" s="32" t="s">
        <v>134</v>
      </c>
      <c r="D32" s="170">
        <f t="shared" si="12"/>
        <v>26.575335</v>
      </c>
      <c r="E32" s="170">
        <f t="shared" si="12"/>
        <v>11.235903</v>
      </c>
      <c r="F32" s="170">
        <f t="shared" si="12"/>
        <v>348.314922</v>
      </c>
      <c r="G32" s="170">
        <f t="shared" si="12"/>
        <v>297.731084</v>
      </c>
      <c r="H32" s="170">
        <f t="shared" si="12"/>
        <v>7.114441</v>
      </c>
      <c r="I32" s="170">
        <f t="shared" si="12"/>
        <v>249.383788</v>
      </c>
      <c r="J32" s="170">
        <f t="shared" si="12"/>
        <v>239.952279</v>
      </c>
      <c r="K32" s="170">
        <f t="shared" si="12"/>
        <v>157.131425</v>
      </c>
      <c r="L32" s="170">
        <f t="shared" si="12"/>
        <v>55.382038</v>
      </c>
      <c r="M32" s="170">
        <f t="shared" si="12"/>
        <v>34.901304</v>
      </c>
      <c r="N32" s="170">
        <f t="shared" si="12"/>
        <v>48.444205</v>
      </c>
      <c r="O32" s="170">
        <f t="shared" si="12"/>
        <v>0.897332</v>
      </c>
      <c r="P32" s="170">
        <f>SUM(D32:O32)</f>
        <v>1477.0640560000002</v>
      </c>
    </row>
    <row r="33" spans="3:18" ht="12.75">
      <c r="C33" s="42" t="s">
        <v>72</v>
      </c>
      <c r="D33" s="125"/>
      <c r="E33" s="125"/>
      <c r="F33" s="125"/>
      <c r="G33" s="125"/>
      <c r="H33" s="124"/>
      <c r="I33" s="124"/>
      <c r="J33" s="125"/>
      <c r="K33" s="124"/>
      <c r="L33" s="124"/>
      <c r="M33" s="124"/>
      <c r="N33" s="125"/>
      <c r="O33" s="125"/>
      <c r="P33" s="125"/>
      <c r="R33" s="41"/>
    </row>
    <row r="34" spans="3:16" ht="12.75">
      <c r="C34" t="s">
        <v>54</v>
      </c>
      <c r="D34" s="162" t="s">
        <v>7</v>
      </c>
      <c r="E34" s="162" t="s">
        <v>8</v>
      </c>
      <c r="F34" s="162" t="s">
        <v>9</v>
      </c>
      <c r="G34" s="163" t="s">
        <v>10</v>
      </c>
      <c r="H34" s="163" t="s">
        <v>11</v>
      </c>
      <c r="I34" s="164" t="s">
        <v>18</v>
      </c>
      <c r="J34" s="164" t="s">
        <v>177</v>
      </c>
      <c r="K34" s="164" t="s">
        <v>12</v>
      </c>
      <c r="L34" s="165" t="s">
        <v>23</v>
      </c>
      <c r="M34" s="165" t="s">
        <v>13</v>
      </c>
      <c r="N34" s="165" t="s">
        <v>16</v>
      </c>
      <c r="O34" s="165" t="s">
        <v>14</v>
      </c>
      <c r="P34" s="169" t="s">
        <v>15</v>
      </c>
    </row>
    <row r="35" spans="3:16" ht="12.75">
      <c r="C35" s="32" t="s">
        <v>66</v>
      </c>
      <c r="D35" s="166"/>
      <c r="E35" s="166"/>
      <c r="F35" s="166"/>
      <c r="G35" s="167">
        <v>22917340</v>
      </c>
      <c r="H35" s="168"/>
      <c r="I35" s="167">
        <v>148617</v>
      </c>
      <c r="J35" s="167">
        <v>33570419</v>
      </c>
      <c r="K35" s="167">
        <v>642341</v>
      </c>
      <c r="L35" s="166"/>
      <c r="M35" s="166"/>
      <c r="N35" s="166"/>
      <c r="O35" s="166"/>
      <c r="P35" s="161">
        <f>SUM(D35:O35)</f>
        <v>57278717</v>
      </c>
    </row>
    <row r="36" spans="3:16" ht="12.75">
      <c r="C36" s="32" t="s">
        <v>44</v>
      </c>
      <c r="D36" s="166">
        <v>3571884</v>
      </c>
      <c r="E36" s="166">
        <v>303870</v>
      </c>
      <c r="F36" s="166"/>
      <c r="G36" s="166">
        <v>38747580</v>
      </c>
      <c r="H36" s="166">
        <v>10177527</v>
      </c>
      <c r="I36" s="166">
        <v>16757476</v>
      </c>
      <c r="J36" s="166">
        <v>47736140</v>
      </c>
      <c r="K36" s="166">
        <v>10732725</v>
      </c>
      <c r="L36" s="166">
        <v>10672894</v>
      </c>
      <c r="M36" s="166">
        <v>399323</v>
      </c>
      <c r="N36" s="166">
        <v>16487646</v>
      </c>
      <c r="O36" s="166">
        <v>74131</v>
      </c>
      <c r="P36" s="161">
        <f>SUM(D36:O36)</f>
        <v>155661196</v>
      </c>
    </row>
    <row r="37" spans="3:16" ht="12.75">
      <c r="C37" s="32" t="s">
        <v>45</v>
      </c>
      <c r="D37" s="166">
        <v>5107300</v>
      </c>
      <c r="E37" s="166">
        <v>472857</v>
      </c>
      <c r="F37" s="166">
        <v>37058060</v>
      </c>
      <c r="G37" s="166">
        <v>54500664</v>
      </c>
      <c r="H37" s="166">
        <v>5677475</v>
      </c>
      <c r="I37" s="166">
        <v>38827043</v>
      </c>
      <c r="J37" s="166">
        <v>47205446</v>
      </c>
      <c r="K37" s="166">
        <v>17247733</v>
      </c>
      <c r="L37" s="166">
        <v>8655132</v>
      </c>
      <c r="M37" s="166">
        <v>7699420</v>
      </c>
      <c r="N37" s="166">
        <v>31722079</v>
      </c>
      <c r="O37" s="166">
        <v>490620</v>
      </c>
      <c r="P37" s="161">
        <f aca="true" t="shared" si="13" ref="P37:P43">SUM(D37:O37)</f>
        <v>254663829</v>
      </c>
    </row>
    <row r="38" spans="3:16" ht="12.75">
      <c r="C38" s="32" t="s">
        <v>46</v>
      </c>
      <c r="D38" s="166">
        <v>4406202</v>
      </c>
      <c r="E38" s="166">
        <v>101671</v>
      </c>
      <c r="F38" s="166">
        <v>52599871</v>
      </c>
      <c r="G38" s="166">
        <v>84223158</v>
      </c>
      <c r="H38" s="166">
        <v>659405</v>
      </c>
      <c r="I38" s="166">
        <v>51945273</v>
      </c>
      <c r="J38" s="166">
        <v>79756398</v>
      </c>
      <c r="K38" s="166">
        <v>22897913</v>
      </c>
      <c r="L38" s="166">
        <v>12425960</v>
      </c>
      <c r="M38" s="166">
        <v>49882875</v>
      </c>
      <c r="N38" s="166">
        <v>50334622</v>
      </c>
      <c r="O38" s="166">
        <v>3566385</v>
      </c>
      <c r="P38" s="161">
        <f t="shared" si="13"/>
        <v>412799733</v>
      </c>
    </row>
    <row r="39" spans="3:16" ht="12.75">
      <c r="C39" s="32" t="s">
        <v>47</v>
      </c>
      <c r="D39" s="166">
        <v>5042249</v>
      </c>
      <c r="E39" s="166">
        <v>368609</v>
      </c>
      <c r="F39" s="166">
        <v>112330657</v>
      </c>
      <c r="G39" s="166">
        <v>133841386</v>
      </c>
      <c r="H39" s="166">
        <v>720133</v>
      </c>
      <c r="I39" s="166">
        <v>63965963</v>
      </c>
      <c r="J39" s="166">
        <v>98766037</v>
      </c>
      <c r="K39" s="166">
        <v>20180632</v>
      </c>
      <c r="L39" s="166">
        <v>20538207</v>
      </c>
      <c r="M39" s="166">
        <v>3194725</v>
      </c>
      <c r="N39" s="166">
        <v>38272940</v>
      </c>
      <c r="O39" s="166">
        <v>4158651</v>
      </c>
      <c r="P39" s="161">
        <f t="shared" si="13"/>
        <v>501380189</v>
      </c>
    </row>
    <row r="40" spans="3:16" ht="12.75">
      <c r="C40" s="32" t="s">
        <v>48</v>
      </c>
      <c r="D40" s="166">
        <v>10626249</v>
      </c>
      <c r="E40" s="166">
        <v>846248</v>
      </c>
      <c r="F40" s="166">
        <v>120025964</v>
      </c>
      <c r="G40" s="166">
        <v>168676747</v>
      </c>
      <c r="H40" s="166">
        <v>791085</v>
      </c>
      <c r="I40" s="166">
        <v>70588599</v>
      </c>
      <c r="J40" s="166">
        <v>95246110</v>
      </c>
      <c r="K40" s="166">
        <v>24339347</v>
      </c>
      <c r="L40" s="166">
        <v>16768246</v>
      </c>
      <c r="M40" s="166">
        <v>6706193</v>
      </c>
      <c r="N40" s="166">
        <v>54068234</v>
      </c>
      <c r="O40" s="166">
        <v>1599327</v>
      </c>
      <c r="P40" s="161">
        <f t="shared" si="13"/>
        <v>570282349</v>
      </c>
    </row>
    <row r="41" spans="3:16" ht="12.75">
      <c r="C41" s="32" t="s">
        <v>49</v>
      </c>
      <c r="D41" s="166">
        <v>10212371</v>
      </c>
      <c r="E41" s="166">
        <v>673608</v>
      </c>
      <c r="F41" s="166">
        <v>120930572</v>
      </c>
      <c r="G41" s="166">
        <v>209906859</v>
      </c>
      <c r="H41" s="166">
        <v>4434948</v>
      </c>
      <c r="I41" s="166">
        <v>111743424</v>
      </c>
      <c r="J41" s="166">
        <v>135286498</v>
      </c>
      <c r="K41" s="166">
        <v>38223085</v>
      </c>
      <c r="L41" s="166">
        <v>18293760</v>
      </c>
      <c r="M41" s="166">
        <v>5756697</v>
      </c>
      <c r="N41" s="166">
        <v>89251096</v>
      </c>
      <c r="O41" s="166">
        <v>4687222</v>
      </c>
      <c r="P41" s="161">
        <f t="shared" si="13"/>
        <v>749400140</v>
      </c>
    </row>
    <row r="42" spans="3:16" ht="12.75">
      <c r="C42" s="32" t="s">
        <v>50</v>
      </c>
      <c r="D42" s="166">
        <v>15472293</v>
      </c>
      <c r="E42" s="166">
        <v>1110146</v>
      </c>
      <c r="F42" s="166">
        <v>144293748</v>
      </c>
      <c r="G42" s="166">
        <v>283255958</v>
      </c>
      <c r="H42" s="166">
        <v>4498352</v>
      </c>
      <c r="I42" s="166">
        <v>127080485</v>
      </c>
      <c r="J42" s="166">
        <v>196137679</v>
      </c>
      <c r="K42" s="166">
        <v>67730322</v>
      </c>
      <c r="L42" s="166">
        <v>27464272</v>
      </c>
      <c r="M42" s="166">
        <v>13607626</v>
      </c>
      <c r="N42" s="166">
        <v>71263045</v>
      </c>
      <c r="O42" s="166">
        <v>6392213</v>
      </c>
      <c r="P42" s="161">
        <f t="shared" si="13"/>
        <v>958306139</v>
      </c>
    </row>
    <row r="43" spans="3:16" ht="12.75">
      <c r="C43" s="32" t="s">
        <v>52</v>
      </c>
      <c r="D43" s="166">
        <v>15943277</v>
      </c>
      <c r="E43" s="166">
        <v>2000860</v>
      </c>
      <c r="F43" s="166">
        <v>172036391</v>
      </c>
      <c r="G43" s="166">
        <v>405060654</v>
      </c>
      <c r="H43" s="166">
        <v>6384325</v>
      </c>
      <c r="I43" s="166">
        <v>163276446</v>
      </c>
      <c r="J43" s="166">
        <v>360644547</v>
      </c>
      <c r="K43" s="166">
        <v>70647366</v>
      </c>
      <c r="L43" s="166">
        <v>56956518</v>
      </c>
      <c r="M43" s="166">
        <v>13084823</v>
      </c>
      <c r="N43" s="166">
        <v>77176447</v>
      </c>
      <c r="O43" s="166">
        <v>7651738</v>
      </c>
      <c r="P43" s="161">
        <f t="shared" si="13"/>
        <v>1350863392</v>
      </c>
    </row>
    <row r="44" spans="3:16" ht="12.75">
      <c r="C44" s="32" t="s">
        <v>85</v>
      </c>
      <c r="D44" s="166">
        <v>18483862</v>
      </c>
      <c r="E44" s="166">
        <v>5180425</v>
      </c>
      <c r="F44" s="166">
        <v>316508622</v>
      </c>
      <c r="G44" s="166">
        <v>409163992</v>
      </c>
      <c r="H44" s="166">
        <v>3932989</v>
      </c>
      <c r="I44" s="166">
        <v>174590976</v>
      </c>
      <c r="J44" s="166">
        <v>230713118</v>
      </c>
      <c r="K44" s="166">
        <v>82185432</v>
      </c>
      <c r="L44" s="166">
        <v>65432243</v>
      </c>
      <c r="M44" s="166">
        <v>31550469</v>
      </c>
      <c r="N44" s="166">
        <v>93017982</v>
      </c>
      <c r="O44" s="166">
        <v>5787392</v>
      </c>
      <c r="P44" s="161">
        <f>SUM(D44:O44)</f>
        <v>1436547502</v>
      </c>
    </row>
    <row r="45" spans="3:16" ht="12.75">
      <c r="C45" s="32" t="s">
        <v>109</v>
      </c>
      <c r="D45" s="166">
        <v>31037472</v>
      </c>
      <c r="E45" s="166">
        <v>6667925</v>
      </c>
      <c r="F45" s="166">
        <v>384034918</v>
      </c>
      <c r="G45" s="166">
        <v>257503303</v>
      </c>
      <c r="H45" s="166">
        <v>6870180</v>
      </c>
      <c r="I45" s="166">
        <v>208186137</v>
      </c>
      <c r="J45" s="166">
        <v>107761906</v>
      </c>
      <c r="K45" s="166">
        <v>102272879</v>
      </c>
      <c r="L45" s="166">
        <v>47917738</v>
      </c>
      <c r="M45" s="166">
        <v>26890238</v>
      </c>
      <c r="N45" s="166">
        <v>87788123</v>
      </c>
      <c r="O45" s="166">
        <v>3555455</v>
      </c>
      <c r="P45" s="161">
        <f>SUM(D45:O45)</f>
        <v>1270486274</v>
      </c>
    </row>
    <row r="46" spans="3:16" ht="12.75">
      <c r="C46" s="32" t="s">
        <v>134</v>
      </c>
      <c r="D46" s="166">
        <v>26575335</v>
      </c>
      <c r="E46" s="166">
        <v>11235903</v>
      </c>
      <c r="F46" s="166">
        <v>348314922</v>
      </c>
      <c r="G46" s="166">
        <v>297731084</v>
      </c>
      <c r="H46" s="166">
        <v>7114441</v>
      </c>
      <c r="I46" s="166">
        <v>249383788</v>
      </c>
      <c r="J46" s="166">
        <v>239952279</v>
      </c>
      <c r="K46" s="166">
        <v>157131425</v>
      </c>
      <c r="L46" s="166">
        <v>55382038</v>
      </c>
      <c r="M46" s="166">
        <v>34901304</v>
      </c>
      <c r="N46" s="166">
        <v>48444205</v>
      </c>
      <c r="O46" s="166">
        <v>897332</v>
      </c>
      <c r="P46" s="161">
        <f>SUM(D46:O46)</f>
        <v>1477064056</v>
      </c>
    </row>
    <row r="47" spans="3:16" ht="12.75">
      <c r="C47" s="40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1"/>
    </row>
    <row r="48" spans="3:20" ht="12.75">
      <c r="C48" s="40" t="s">
        <v>30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T48" s="10"/>
    </row>
    <row r="49" spans="3:16" ht="12.75">
      <c r="C49" t="s">
        <v>54</v>
      </c>
      <c r="D49" s="154" t="s">
        <v>7</v>
      </c>
      <c r="E49" s="154" t="s">
        <v>8</v>
      </c>
      <c r="F49" s="154" t="s">
        <v>9</v>
      </c>
      <c r="G49" s="154" t="s">
        <v>10</v>
      </c>
      <c r="H49" s="154" t="s">
        <v>11</v>
      </c>
      <c r="I49" s="160" t="s">
        <v>18</v>
      </c>
      <c r="J49" s="160" t="s">
        <v>177</v>
      </c>
      <c r="K49" s="160" t="s">
        <v>12</v>
      </c>
      <c r="L49" s="160" t="s">
        <v>23</v>
      </c>
      <c r="M49" s="160" t="s">
        <v>13</v>
      </c>
      <c r="N49" s="160" t="s">
        <v>16</v>
      </c>
      <c r="O49" s="160" t="s">
        <v>14</v>
      </c>
      <c r="P49" s="169" t="s">
        <v>15</v>
      </c>
    </row>
    <row r="50" spans="3:16" ht="12.75">
      <c r="C50" s="32" t="s">
        <v>66</v>
      </c>
      <c r="D50" s="171">
        <f>D64/1024</f>
        <v>0</v>
      </c>
      <c r="E50" s="171">
        <f aca="true" t="shared" si="14" ref="E50:O50">E64/1024</f>
        <v>0</v>
      </c>
      <c r="F50" s="171">
        <f t="shared" si="14"/>
        <v>0</v>
      </c>
      <c r="G50" s="171">
        <f t="shared" si="14"/>
        <v>72.8874397277832</v>
      </c>
      <c r="H50" s="171">
        <f t="shared" si="14"/>
        <v>0</v>
      </c>
      <c r="I50" s="171">
        <f t="shared" si="14"/>
        <v>6.646685600280762</v>
      </c>
      <c r="J50" s="171">
        <f t="shared" si="14"/>
        <v>569.6317224502563</v>
      </c>
      <c r="K50" s="171">
        <f t="shared" si="14"/>
        <v>15.27695369720459</v>
      </c>
      <c r="L50" s="171">
        <f t="shared" si="14"/>
        <v>0</v>
      </c>
      <c r="M50" s="171">
        <f t="shared" si="14"/>
        <v>0</v>
      </c>
      <c r="N50" s="171">
        <f t="shared" si="14"/>
        <v>0</v>
      </c>
      <c r="O50" s="171">
        <f t="shared" si="14"/>
        <v>0</v>
      </c>
      <c r="P50" s="171">
        <f aca="true" t="shared" si="15" ref="P50:P58">SUM(D50:O50)</f>
        <v>664.4428014755249</v>
      </c>
    </row>
    <row r="51" spans="3:16" ht="12.75">
      <c r="C51" s="32" t="s">
        <v>44</v>
      </c>
      <c r="D51" s="171">
        <f aca="true" t="shared" si="16" ref="D51:O51">D65/1024</f>
        <v>167.137470703125</v>
      </c>
      <c r="E51" s="171">
        <f t="shared" si="16"/>
        <v>16.502822265625</v>
      </c>
      <c r="F51" s="171">
        <f t="shared" si="16"/>
        <v>0</v>
      </c>
      <c r="G51" s="171">
        <f t="shared" si="16"/>
        <v>302.798525390625</v>
      </c>
      <c r="H51" s="171">
        <f t="shared" si="16"/>
        <v>12.07728515625</v>
      </c>
      <c r="I51" s="171">
        <f t="shared" si="16"/>
        <v>448.1191015625</v>
      </c>
      <c r="J51" s="171">
        <f t="shared" si="16"/>
        <v>813.9431640625</v>
      </c>
      <c r="K51" s="171">
        <f t="shared" si="16"/>
        <v>81.31694335937502</v>
      </c>
      <c r="L51" s="171">
        <f t="shared" si="16"/>
        <v>61.039814453125004</v>
      </c>
      <c r="M51" s="171">
        <f t="shared" si="16"/>
        <v>0.73625</v>
      </c>
      <c r="N51" s="171">
        <f t="shared" si="16"/>
        <v>62.173291015625</v>
      </c>
      <c r="O51" s="171">
        <f t="shared" si="16"/>
        <v>0.064423828125</v>
      </c>
      <c r="P51" s="171">
        <f t="shared" si="15"/>
        <v>1965.909091796875</v>
      </c>
    </row>
    <row r="52" spans="3:16" ht="12.75">
      <c r="C52" s="32" t="s">
        <v>45</v>
      </c>
      <c r="D52" s="171">
        <f aca="true" t="shared" si="17" ref="D52:O52">D66/1024</f>
        <v>187.91737431887725</v>
      </c>
      <c r="E52" s="171">
        <f t="shared" si="17"/>
        <v>41.982201290367755</v>
      </c>
      <c r="F52" s="171">
        <f t="shared" si="17"/>
        <v>9.201080330164556</v>
      </c>
      <c r="G52" s="171">
        <f t="shared" si="17"/>
        <v>487.31976638919554</v>
      </c>
      <c r="H52" s="171">
        <f t="shared" si="17"/>
        <v>8.627599381523373</v>
      </c>
      <c r="I52" s="171">
        <f t="shared" si="17"/>
        <v>538.9353543940364</v>
      </c>
      <c r="J52" s="171">
        <f t="shared" si="17"/>
        <v>866.748003955091</v>
      </c>
      <c r="K52" s="171">
        <f t="shared" si="17"/>
        <v>119.99649580963224</v>
      </c>
      <c r="L52" s="171">
        <f t="shared" si="17"/>
        <v>73.955380859375</v>
      </c>
      <c r="M52" s="171">
        <f t="shared" si="17"/>
        <v>2.859052655876436</v>
      </c>
      <c r="N52" s="171">
        <f t="shared" si="17"/>
        <v>91.35252567675154</v>
      </c>
      <c r="O52" s="171">
        <f t="shared" si="17"/>
        <v>0.3163032316588211</v>
      </c>
      <c r="P52" s="171">
        <f t="shared" si="15"/>
        <v>2429.21113829255</v>
      </c>
    </row>
    <row r="53" spans="3:16" ht="12.75">
      <c r="C53" s="32" t="s">
        <v>46</v>
      </c>
      <c r="D53" s="171">
        <f aca="true" t="shared" si="18" ref="D53:O53">D67/1024</f>
        <v>232.70969726562498</v>
      </c>
      <c r="E53" s="171">
        <f t="shared" si="18"/>
        <v>2.6634765624999996</v>
      </c>
      <c r="F53" s="171">
        <f t="shared" si="18"/>
        <v>17.431845703125</v>
      </c>
      <c r="G53" s="171">
        <f t="shared" si="18"/>
        <v>698.675234375</v>
      </c>
      <c r="H53" s="171">
        <f t="shared" si="18"/>
        <v>12.410048828125</v>
      </c>
      <c r="I53" s="171">
        <f t="shared" si="18"/>
        <v>952.7052636718751</v>
      </c>
      <c r="J53" s="171">
        <f t="shared" si="18"/>
        <v>1287.38052734375</v>
      </c>
      <c r="K53" s="171">
        <f t="shared" si="18"/>
        <v>140.17009765625</v>
      </c>
      <c r="L53" s="171">
        <f t="shared" si="18"/>
        <v>173.846396484375</v>
      </c>
      <c r="M53" s="171">
        <f t="shared" si="18"/>
        <v>4.992060546875</v>
      </c>
      <c r="N53" s="171">
        <f t="shared" si="18"/>
        <v>104.92124023437498</v>
      </c>
      <c r="O53" s="171">
        <f t="shared" si="18"/>
        <v>1.4294628906250002</v>
      </c>
      <c r="P53" s="171">
        <f t="shared" si="15"/>
        <v>3629.3353515625</v>
      </c>
    </row>
    <row r="54" spans="3:16" ht="12.75">
      <c r="C54" s="32" t="s">
        <v>47</v>
      </c>
      <c r="D54" s="171">
        <f aca="true" t="shared" si="19" ref="D54:O54">D68/1024</f>
        <v>195.51196289062503</v>
      </c>
      <c r="E54" s="171">
        <f t="shared" si="19"/>
        <v>103.106435546875</v>
      </c>
      <c r="F54" s="171">
        <f t="shared" si="19"/>
        <v>35.75987304687499</v>
      </c>
      <c r="G54" s="171">
        <f t="shared" si="19"/>
        <v>1042.4527050781248</v>
      </c>
      <c r="H54" s="171">
        <f t="shared" si="19"/>
        <v>5.939228515625001</v>
      </c>
      <c r="I54" s="171">
        <f t="shared" si="19"/>
        <v>1178.54642578125</v>
      </c>
      <c r="J54" s="171">
        <f t="shared" si="19"/>
        <v>1578.3927832031247</v>
      </c>
      <c r="K54" s="171">
        <f t="shared" si="19"/>
        <v>185.13569335937498</v>
      </c>
      <c r="L54" s="171">
        <f t="shared" si="19"/>
        <v>282.97775390625003</v>
      </c>
      <c r="M54" s="171">
        <f t="shared" si="19"/>
        <v>7.162412109375</v>
      </c>
      <c r="N54" s="171">
        <f t="shared" si="19"/>
        <v>111.833525390625</v>
      </c>
      <c r="O54" s="171">
        <f t="shared" si="19"/>
        <v>2.8848242187499995</v>
      </c>
      <c r="P54" s="171">
        <f t="shared" si="15"/>
        <v>4729.703623046874</v>
      </c>
    </row>
    <row r="55" spans="3:16" ht="12.75">
      <c r="C55" s="32" t="s">
        <v>48</v>
      </c>
      <c r="D55" s="171">
        <f aca="true" t="shared" si="20" ref="D55:O55">D69/1024</f>
        <v>643.9332226562499</v>
      </c>
      <c r="E55" s="171">
        <f t="shared" si="20"/>
        <v>188.17906250000001</v>
      </c>
      <c r="F55" s="171">
        <f t="shared" si="20"/>
        <v>37.5161357421875</v>
      </c>
      <c r="G55" s="171">
        <f t="shared" si="20"/>
        <v>1327.66482421875</v>
      </c>
      <c r="H55" s="171">
        <f t="shared" si="20"/>
        <v>7.283496093750001</v>
      </c>
      <c r="I55" s="171">
        <f t="shared" si="20"/>
        <v>1200.866494140625</v>
      </c>
      <c r="J55" s="171">
        <f t="shared" si="20"/>
        <v>1289.7931152343751</v>
      </c>
      <c r="K55" s="171">
        <f t="shared" si="20"/>
        <v>168.339326171875</v>
      </c>
      <c r="L55" s="171">
        <f t="shared" si="20"/>
        <v>370.486376953125</v>
      </c>
      <c r="M55" s="171">
        <f t="shared" si="20"/>
        <v>10.159755859375002</v>
      </c>
      <c r="N55" s="171">
        <f t="shared" si="20"/>
        <v>161.62029296875</v>
      </c>
      <c r="O55" s="171">
        <f t="shared" si="20"/>
        <v>1.470908203125</v>
      </c>
      <c r="P55" s="171">
        <f t="shared" si="15"/>
        <v>5407.313010742187</v>
      </c>
    </row>
    <row r="56" spans="3:16" ht="12.75">
      <c r="C56" s="32" t="s">
        <v>49</v>
      </c>
      <c r="D56" s="171">
        <f aca="true" t="shared" si="21" ref="D56:O56">D70/1024</f>
        <v>624.5398925781249</v>
      </c>
      <c r="E56" s="171">
        <f t="shared" si="21"/>
        <v>81.96029296875</v>
      </c>
      <c r="F56" s="171">
        <f t="shared" si="21"/>
        <v>48.77349609375</v>
      </c>
      <c r="G56" s="171">
        <f t="shared" si="21"/>
        <v>1942.4786035156249</v>
      </c>
      <c r="H56" s="171">
        <f t="shared" si="21"/>
        <v>6.949228515625</v>
      </c>
      <c r="I56" s="171">
        <f t="shared" si="21"/>
        <v>1456.16708984375</v>
      </c>
      <c r="J56" s="171">
        <f t="shared" si="21"/>
        <v>2080.392529296875</v>
      </c>
      <c r="K56" s="171">
        <f t="shared" si="21"/>
        <v>180.22646484375</v>
      </c>
      <c r="L56" s="171">
        <f t="shared" si="21"/>
        <v>500.983740234375</v>
      </c>
      <c r="M56" s="171">
        <f t="shared" si="21"/>
        <v>16.33041015625</v>
      </c>
      <c r="N56" s="171">
        <f t="shared" si="21"/>
        <v>232.359970703125</v>
      </c>
      <c r="O56" s="171">
        <f t="shared" si="21"/>
        <v>2.57203125</v>
      </c>
      <c r="P56" s="171">
        <f t="shared" si="15"/>
        <v>7173.733749999999</v>
      </c>
    </row>
    <row r="57" spans="3:16" ht="12.75">
      <c r="C57" s="32" t="s">
        <v>50</v>
      </c>
      <c r="D57" s="171">
        <f aca="true" t="shared" si="22" ref="D57:O57">D71/1024</f>
        <v>1094.296884765625</v>
      </c>
      <c r="E57" s="171">
        <f t="shared" si="22"/>
        <v>349.97136718750005</v>
      </c>
      <c r="F57" s="171">
        <f t="shared" si="22"/>
        <v>72.33710644531251</v>
      </c>
      <c r="G57" s="171">
        <f t="shared" si="22"/>
        <v>1770.654091796875</v>
      </c>
      <c r="H57" s="171">
        <f t="shared" si="22"/>
        <v>8.981152343749999</v>
      </c>
      <c r="I57" s="171">
        <f t="shared" si="22"/>
        <v>2132.946181640625</v>
      </c>
      <c r="J57" s="171">
        <f t="shared" si="22"/>
        <v>3045.8086132812505</v>
      </c>
      <c r="K57" s="171">
        <f t="shared" si="22"/>
        <v>169.87938476562502</v>
      </c>
      <c r="L57" s="171">
        <f t="shared" si="22"/>
        <v>404.459365234375</v>
      </c>
      <c r="M57" s="171">
        <f t="shared" si="22"/>
        <v>21.51076171875</v>
      </c>
      <c r="N57" s="171">
        <f t="shared" si="22"/>
        <v>207.10779296875</v>
      </c>
      <c r="O57" s="171">
        <f t="shared" si="22"/>
        <v>2.7203515625</v>
      </c>
      <c r="P57" s="171">
        <f t="shared" si="15"/>
        <v>9280.67305371094</v>
      </c>
    </row>
    <row r="58" spans="3:16" ht="12.75">
      <c r="C58" s="32" t="s">
        <v>52</v>
      </c>
      <c r="D58" s="171">
        <f aca="true" t="shared" si="23" ref="D58:O61">D72/1024</f>
        <v>1142.356098658135</v>
      </c>
      <c r="E58" s="171">
        <f t="shared" si="23"/>
        <v>189.67558521090592</v>
      </c>
      <c r="F58" s="171">
        <f t="shared" si="23"/>
        <v>93.66692852361744</v>
      </c>
      <c r="G58" s="171">
        <f t="shared" si="23"/>
        <v>2071.4167294902027</v>
      </c>
      <c r="H58" s="171">
        <f t="shared" si="23"/>
        <v>16.130874663122043</v>
      </c>
      <c r="I58" s="171">
        <f t="shared" si="23"/>
        <v>1801.2341377453145</v>
      </c>
      <c r="J58" s="171">
        <f t="shared" si="23"/>
        <v>3916.734083134437</v>
      </c>
      <c r="K58" s="171">
        <f t="shared" si="23"/>
        <v>201.59095327375263</v>
      </c>
      <c r="L58" s="171">
        <f t="shared" si="23"/>
        <v>1191.0308301382825</v>
      </c>
      <c r="M58" s="171">
        <f t="shared" si="23"/>
        <v>20.42730084318641</v>
      </c>
      <c r="N58" s="171">
        <f t="shared" si="23"/>
        <v>300.9853808144783</v>
      </c>
      <c r="O58" s="171">
        <f t="shared" si="23"/>
        <v>1.672547038133412</v>
      </c>
      <c r="P58" s="171">
        <f t="shared" si="15"/>
        <v>10946.92144953357</v>
      </c>
    </row>
    <row r="59" spans="3:16" ht="12.75">
      <c r="C59" s="32" t="s">
        <v>85</v>
      </c>
      <c r="D59" s="171">
        <f t="shared" si="23"/>
        <v>1315.178235138271</v>
      </c>
      <c r="E59" s="171">
        <f t="shared" si="23"/>
        <v>625.9382838821411</v>
      </c>
      <c r="F59" s="171">
        <f t="shared" si="23"/>
        <v>143.02083835122664</v>
      </c>
      <c r="G59" s="171">
        <f t="shared" si="23"/>
        <v>4058.966837270286</v>
      </c>
      <c r="H59" s="171">
        <f t="shared" si="23"/>
        <v>8.844316534697082</v>
      </c>
      <c r="I59" s="171">
        <f t="shared" si="23"/>
        <v>2501.025896297953</v>
      </c>
      <c r="J59" s="171">
        <f t="shared" si="23"/>
        <v>2935.540587216782</v>
      </c>
      <c r="K59" s="171">
        <f t="shared" si="23"/>
        <v>262.9846577481169</v>
      </c>
      <c r="L59" s="171">
        <f t="shared" si="23"/>
        <v>1479.5026629857307</v>
      </c>
      <c r="M59" s="171">
        <f t="shared" si="23"/>
        <v>71.65405064612854</v>
      </c>
      <c r="N59" s="171">
        <f t="shared" si="23"/>
        <v>481.28024073248207</v>
      </c>
      <c r="O59" s="171">
        <f t="shared" si="23"/>
        <v>2.8853466487826123</v>
      </c>
      <c r="P59" s="171">
        <f>SUM(D59:O59)</f>
        <v>13886.821953452594</v>
      </c>
    </row>
    <row r="60" spans="3:16" ht="12.75">
      <c r="C60" s="32" t="s">
        <v>109</v>
      </c>
      <c r="D60" s="171">
        <f t="shared" si="23"/>
        <v>2378.330091915208</v>
      </c>
      <c r="E60" s="171">
        <f t="shared" si="23"/>
        <v>1418.5444757995174</v>
      </c>
      <c r="F60" s="171">
        <f t="shared" si="23"/>
        <v>151.5675746870041</v>
      </c>
      <c r="G60" s="171">
        <f t="shared" si="23"/>
        <v>5627.29691629313</v>
      </c>
      <c r="H60" s="171">
        <f t="shared" si="23"/>
        <v>20.59110397774745</v>
      </c>
      <c r="I60" s="171">
        <f t="shared" si="23"/>
        <v>4255.623154638468</v>
      </c>
      <c r="J60" s="171">
        <f t="shared" si="23"/>
        <v>2161.321573356039</v>
      </c>
      <c r="K60" s="171">
        <f t="shared" si="23"/>
        <v>383.6480041500203</v>
      </c>
      <c r="L60" s="171">
        <f t="shared" si="23"/>
        <v>1388.5250310475176</v>
      </c>
      <c r="M60" s="171">
        <f t="shared" si="23"/>
        <v>169.07318274293493</v>
      </c>
      <c r="N60" s="171">
        <f t="shared" si="23"/>
        <v>547.693270146636</v>
      </c>
      <c r="O60" s="171">
        <f t="shared" si="23"/>
        <v>5.944770962020806</v>
      </c>
      <c r="P60" s="171">
        <f>SUM(D60:O60)</f>
        <v>18508.159149716244</v>
      </c>
    </row>
    <row r="61" spans="3:16" ht="12.75">
      <c r="C61" s="32" t="s">
        <v>134</v>
      </c>
      <c r="D61" s="171">
        <f t="shared" si="23"/>
        <v>2313.0587907771337</v>
      </c>
      <c r="E61" s="171">
        <f t="shared" si="23"/>
        <v>4765.161105083115</v>
      </c>
      <c r="F61" s="171">
        <f t="shared" si="23"/>
        <v>204.1554972513335</v>
      </c>
      <c r="G61" s="171">
        <f t="shared" si="23"/>
        <v>5034.058862325268</v>
      </c>
      <c r="H61" s="171">
        <f t="shared" si="23"/>
        <v>12.59196266317027</v>
      </c>
      <c r="I61" s="171">
        <f t="shared" si="23"/>
        <v>4591.978349684738</v>
      </c>
      <c r="J61" s="171">
        <f t="shared" si="23"/>
        <v>3807.471474384752</v>
      </c>
      <c r="K61" s="171">
        <f t="shared" si="23"/>
        <v>542.4003976383194</v>
      </c>
      <c r="L61" s="171">
        <f t="shared" si="23"/>
        <v>1277.2397893217526</v>
      </c>
      <c r="M61" s="171">
        <f t="shared" si="23"/>
        <v>369.99535867868644</v>
      </c>
      <c r="N61" s="171">
        <f t="shared" si="23"/>
        <v>575.228783327174</v>
      </c>
      <c r="O61" s="171">
        <f t="shared" si="23"/>
        <v>8.540635010351247</v>
      </c>
      <c r="P61" s="171">
        <f>SUM(D61:O61)</f>
        <v>23501.881006145795</v>
      </c>
    </row>
    <row r="62" spans="3:16" ht="12.75">
      <c r="C62" s="40" t="s">
        <v>41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3:16" ht="12.75">
      <c r="C63" t="s">
        <v>54</v>
      </c>
      <c r="D63" s="162" t="s">
        <v>7</v>
      </c>
      <c r="E63" s="162" t="s">
        <v>8</v>
      </c>
      <c r="F63" s="162" t="s">
        <v>9</v>
      </c>
      <c r="G63" s="163" t="s">
        <v>10</v>
      </c>
      <c r="H63" s="163" t="s">
        <v>11</v>
      </c>
      <c r="I63" s="164" t="s">
        <v>18</v>
      </c>
      <c r="J63" s="164" t="s">
        <v>177</v>
      </c>
      <c r="K63" s="164" t="s">
        <v>12</v>
      </c>
      <c r="L63" s="165" t="s">
        <v>23</v>
      </c>
      <c r="M63" s="165" t="s">
        <v>13</v>
      </c>
      <c r="N63" s="165" t="s">
        <v>16</v>
      </c>
      <c r="O63" s="165" t="s">
        <v>14</v>
      </c>
      <c r="P63" s="169" t="s">
        <v>15</v>
      </c>
    </row>
    <row r="64" spans="3:16" ht="12.75">
      <c r="C64" s="32" t="s">
        <v>66</v>
      </c>
      <c r="D64" s="172"/>
      <c r="E64" s="172"/>
      <c r="F64" s="172"/>
      <c r="G64" s="173">
        <v>74636.73828125</v>
      </c>
      <c r="H64" s="174"/>
      <c r="I64" s="173">
        <v>6806.2060546875</v>
      </c>
      <c r="J64" s="173">
        <v>583302.8837890625</v>
      </c>
      <c r="K64" s="173">
        <v>15643.6005859375</v>
      </c>
      <c r="L64" s="172"/>
      <c r="M64" s="172"/>
      <c r="N64" s="172"/>
      <c r="O64" s="172"/>
      <c r="P64" s="171">
        <f aca="true" t="shared" si="24" ref="P64:P72">SUM(D64:O64)</f>
        <v>680389.4287109375</v>
      </c>
    </row>
    <row r="65" spans="3:16" ht="12.75">
      <c r="C65" s="32" t="s">
        <v>44</v>
      </c>
      <c r="D65" s="172">
        <v>171148.77</v>
      </c>
      <c r="E65" s="172">
        <v>16898.89</v>
      </c>
      <c r="F65" s="172"/>
      <c r="G65" s="172">
        <v>310065.69</v>
      </c>
      <c r="H65" s="172">
        <v>12367.14</v>
      </c>
      <c r="I65" s="172">
        <v>458873.96</v>
      </c>
      <c r="J65" s="172">
        <v>833477.8</v>
      </c>
      <c r="K65" s="172">
        <v>83268.55000000002</v>
      </c>
      <c r="L65" s="172">
        <v>62504.770000000004</v>
      </c>
      <c r="M65" s="172">
        <v>753.92</v>
      </c>
      <c r="N65" s="172">
        <v>63665.45</v>
      </c>
      <c r="O65" s="172">
        <v>65.97</v>
      </c>
      <c r="P65" s="171">
        <f t="shared" si="24"/>
        <v>2013090.91</v>
      </c>
    </row>
    <row r="66" spans="3:16" ht="12.75">
      <c r="C66" s="32" t="s">
        <v>45</v>
      </c>
      <c r="D66" s="172">
        <v>192427.3913025303</v>
      </c>
      <c r="E66" s="172">
        <v>42989.77412133658</v>
      </c>
      <c r="F66" s="172">
        <v>9421.906258088506</v>
      </c>
      <c r="G66" s="172">
        <v>499015.4407825362</v>
      </c>
      <c r="H66" s="172">
        <v>8834.661766679934</v>
      </c>
      <c r="I66" s="172">
        <v>551869.8028994933</v>
      </c>
      <c r="J66" s="172">
        <v>887549.9560500132</v>
      </c>
      <c r="K66" s="172">
        <v>122876.41170906341</v>
      </c>
      <c r="L66" s="175">
        <v>75730.31</v>
      </c>
      <c r="M66" s="172">
        <v>2927.6699196174704</v>
      </c>
      <c r="N66" s="172">
        <v>93544.98629299358</v>
      </c>
      <c r="O66" s="172">
        <v>323.89450921863283</v>
      </c>
      <c r="P66" s="171">
        <f t="shared" si="24"/>
        <v>2487512.205611571</v>
      </c>
    </row>
    <row r="67" spans="3:16" ht="12.75">
      <c r="C67" s="32" t="s">
        <v>46</v>
      </c>
      <c r="D67" s="172">
        <v>238294.72999999998</v>
      </c>
      <c r="E67" s="172">
        <v>2727.3999999999996</v>
      </c>
      <c r="F67" s="172">
        <v>17850.21</v>
      </c>
      <c r="G67" s="172">
        <v>715443.44</v>
      </c>
      <c r="H67" s="172">
        <v>12707.89</v>
      </c>
      <c r="I67" s="172">
        <v>975570.1900000001</v>
      </c>
      <c r="J67" s="172">
        <v>1318277.66</v>
      </c>
      <c r="K67" s="172">
        <v>143534.18</v>
      </c>
      <c r="L67" s="172">
        <v>178018.71</v>
      </c>
      <c r="M67" s="172">
        <v>5111.87</v>
      </c>
      <c r="N67" s="172">
        <v>107439.34999999998</v>
      </c>
      <c r="O67" s="172">
        <v>1463.7700000000002</v>
      </c>
      <c r="P67" s="171">
        <f t="shared" si="24"/>
        <v>3716439.4</v>
      </c>
    </row>
    <row r="68" spans="3:16" ht="12.75">
      <c r="C68" s="32" t="s">
        <v>47</v>
      </c>
      <c r="D68" s="172">
        <v>200204.25000000003</v>
      </c>
      <c r="E68" s="172">
        <v>105580.99</v>
      </c>
      <c r="F68" s="172">
        <v>36618.10999999999</v>
      </c>
      <c r="G68" s="172">
        <v>1067471.5699999998</v>
      </c>
      <c r="H68" s="172">
        <v>6081.770000000001</v>
      </c>
      <c r="I68" s="172">
        <v>1206831.54</v>
      </c>
      <c r="J68" s="172">
        <v>1616274.2099999997</v>
      </c>
      <c r="K68" s="172">
        <v>189578.94999999998</v>
      </c>
      <c r="L68" s="172">
        <v>289769.22000000003</v>
      </c>
      <c r="M68" s="172">
        <v>7334.31</v>
      </c>
      <c r="N68" s="172">
        <v>114517.53</v>
      </c>
      <c r="O68" s="172">
        <v>2954.0599999999995</v>
      </c>
      <c r="P68" s="171">
        <f t="shared" si="24"/>
        <v>4843216.509999999</v>
      </c>
    </row>
    <row r="69" spans="3:16" ht="12.75">
      <c r="C69" s="32" t="s">
        <v>48</v>
      </c>
      <c r="D69" s="172">
        <v>659387.6199999999</v>
      </c>
      <c r="E69" s="172">
        <v>192695.36000000002</v>
      </c>
      <c r="F69" s="172">
        <v>38416.523</v>
      </c>
      <c r="G69" s="172">
        <v>1359528.78</v>
      </c>
      <c r="H69" s="172">
        <v>7458.300000000001</v>
      </c>
      <c r="I69" s="172">
        <v>1229687.29</v>
      </c>
      <c r="J69" s="172">
        <v>1320748.1500000001</v>
      </c>
      <c r="K69" s="172">
        <v>172379.47</v>
      </c>
      <c r="L69" s="172">
        <v>379378.05</v>
      </c>
      <c r="M69" s="172">
        <v>10403.590000000002</v>
      </c>
      <c r="N69" s="172">
        <v>165499.18</v>
      </c>
      <c r="O69" s="172">
        <v>1506.21</v>
      </c>
      <c r="P69" s="171">
        <f t="shared" si="24"/>
        <v>5537088.522999999</v>
      </c>
    </row>
    <row r="70" spans="3:16" ht="12.75">
      <c r="C70" s="32" t="s">
        <v>49</v>
      </c>
      <c r="D70" s="172">
        <v>639528.8499999999</v>
      </c>
      <c r="E70" s="172">
        <v>83927.34</v>
      </c>
      <c r="F70" s="172">
        <v>49944.06</v>
      </c>
      <c r="G70" s="172">
        <v>1989098.0899999999</v>
      </c>
      <c r="H70" s="172">
        <v>7116.01</v>
      </c>
      <c r="I70" s="172">
        <v>1491115.1</v>
      </c>
      <c r="J70" s="172">
        <v>2130321.95</v>
      </c>
      <c r="K70" s="172">
        <v>184551.9</v>
      </c>
      <c r="L70" s="172">
        <v>513007.35</v>
      </c>
      <c r="M70" s="172">
        <v>16722.34</v>
      </c>
      <c r="N70" s="172">
        <v>237936.61</v>
      </c>
      <c r="O70" s="172">
        <v>2633.76</v>
      </c>
      <c r="P70" s="171">
        <f t="shared" si="24"/>
        <v>7345903.359999999</v>
      </c>
    </row>
    <row r="71" spans="3:16" ht="12.75">
      <c r="C71" s="32" t="s">
        <v>50</v>
      </c>
      <c r="D71" s="172">
        <v>1120560.01</v>
      </c>
      <c r="E71" s="172">
        <v>358370.68000000005</v>
      </c>
      <c r="F71" s="172">
        <v>74073.19700000001</v>
      </c>
      <c r="G71" s="172">
        <v>1813149.79</v>
      </c>
      <c r="H71" s="172">
        <v>9196.699999999999</v>
      </c>
      <c r="I71" s="172">
        <v>2184136.89</v>
      </c>
      <c r="J71" s="172">
        <v>3118908.0200000005</v>
      </c>
      <c r="K71" s="172">
        <v>173956.49000000002</v>
      </c>
      <c r="L71" s="172">
        <v>414166.39</v>
      </c>
      <c r="M71" s="172">
        <v>22027.02</v>
      </c>
      <c r="N71" s="172">
        <v>212078.38</v>
      </c>
      <c r="O71" s="172">
        <v>2785.64</v>
      </c>
      <c r="P71" s="171">
        <f t="shared" si="24"/>
        <v>9503409.207000002</v>
      </c>
    </row>
    <row r="72" spans="3:16" ht="12.75">
      <c r="C72" s="32" t="s">
        <v>52</v>
      </c>
      <c r="D72" s="172">
        <v>1169772.6450259301</v>
      </c>
      <c r="E72" s="172">
        <v>194227.79925596766</v>
      </c>
      <c r="F72" s="172">
        <v>95914.93480818426</v>
      </c>
      <c r="G72" s="172">
        <v>2121130.7309979675</v>
      </c>
      <c r="H72" s="172">
        <v>16518.015655036972</v>
      </c>
      <c r="I72" s="172">
        <v>1844463.757051202</v>
      </c>
      <c r="J72" s="172">
        <v>4010735.7011296633</v>
      </c>
      <c r="K72" s="172">
        <v>206429.1361523227</v>
      </c>
      <c r="L72" s="172">
        <v>1219615.5700616012</v>
      </c>
      <c r="M72" s="172">
        <v>20917.556063422882</v>
      </c>
      <c r="N72" s="172">
        <v>308209.02995402575</v>
      </c>
      <c r="O72" s="172">
        <v>1712.6881670486139</v>
      </c>
      <c r="P72" s="171">
        <f t="shared" si="24"/>
        <v>11209647.564322375</v>
      </c>
    </row>
    <row r="73" spans="3:16" ht="12.75">
      <c r="C73" s="32" t="s">
        <v>85</v>
      </c>
      <c r="D73" s="172">
        <v>1346742.5127815895</v>
      </c>
      <c r="E73" s="172">
        <v>640960.8026953125</v>
      </c>
      <c r="F73" s="172">
        <v>146453.33847165608</v>
      </c>
      <c r="G73" s="172">
        <v>4156382.0413647727</v>
      </c>
      <c r="H73" s="172">
        <v>9056.580131529812</v>
      </c>
      <c r="I73" s="172">
        <v>2561050.5178091037</v>
      </c>
      <c r="J73" s="172">
        <v>3005993.561309985</v>
      </c>
      <c r="K73" s="172">
        <v>269296.2895340717</v>
      </c>
      <c r="L73" s="172">
        <v>1515010.7268973882</v>
      </c>
      <c r="M73" s="172">
        <v>73373.74786163562</v>
      </c>
      <c r="N73" s="172">
        <v>492830.96651006164</v>
      </c>
      <c r="O73" s="172">
        <v>2954.594968353395</v>
      </c>
      <c r="P73" s="171">
        <f>SUM(D73:O73)</f>
        <v>14220105.680335457</v>
      </c>
    </row>
    <row r="74" spans="3:16" ht="12.75">
      <c r="C74" s="32" t="s">
        <v>109</v>
      </c>
      <c r="D74" s="172">
        <v>2435410.014121173</v>
      </c>
      <c r="E74" s="172">
        <v>1452589.5432187058</v>
      </c>
      <c r="F74" s="172">
        <v>155205.1964794922</v>
      </c>
      <c r="G74" s="172">
        <v>5762352.0422841655</v>
      </c>
      <c r="H74" s="172">
        <v>21085.29047321339</v>
      </c>
      <c r="I74" s="172">
        <v>4357758.110349791</v>
      </c>
      <c r="J74" s="172">
        <v>2213193.291116584</v>
      </c>
      <c r="K74" s="172">
        <v>392855.5562496208</v>
      </c>
      <c r="L74" s="172">
        <v>1421849.631792658</v>
      </c>
      <c r="M74" s="172">
        <v>173130.93912876537</v>
      </c>
      <c r="N74" s="172">
        <v>560837.9086301553</v>
      </c>
      <c r="O74" s="172">
        <v>6087.445465109306</v>
      </c>
      <c r="P74" s="171">
        <f>SUM(D74:O74)</f>
        <v>18952354.969309434</v>
      </c>
    </row>
    <row r="75" spans="3:16" ht="12.75">
      <c r="C75" s="32" t="s">
        <v>134</v>
      </c>
      <c r="D75" s="172">
        <v>2368572.201755785</v>
      </c>
      <c r="E75" s="172">
        <v>4879524.97160511</v>
      </c>
      <c r="F75" s="172">
        <v>209055.2291853655</v>
      </c>
      <c r="G75" s="172">
        <v>5154876.275021074</v>
      </c>
      <c r="H75" s="172">
        <v>12894.169767086356</v>
      </c>
      <c r="I75" s="172">
        <v>4702185.830077171</v>
      </c>
      <c r="J75" s="172">
        <v>3898850.789769986</v>
      </c>
      <c r="K75" s="172">
        <v>555418.0071816391</v>
      </c>
      <c r="L75" s="172">
        <v>1307893.5442654747</v>
      </c>
      <c r="M75" s="172">
        <v>378875.2472869749</v>
      </c>
      <c r="N75" s="172">
        <v>589034.2741270262</v>
      </c>
      <c r="O75" s="172">
        <v>8745.610250599677</v>
      </c>
      <c r="P75" s="171">
        <f>SUM(D75:O75)</f>
        <v>24065926.150293294</v>
      </c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I250"/>
  <sheetViews>
    <sheetView zoomScalePageLayoutView="0" workbookViewId="0" topLeftCell="A131">
      <selection activeCell="T235" sqref="T235:V235"/>
    </sheetView>
  </sheetViews>
  <sheetFormatPr defaultColWidth="8.7109375" defaultRowHeight="12.75"/>
  <cols>
    <col min="1" max="1" width="8.7109375" style="12" customWidth="1"/>
    <col min="2" max="2" width="12.7109375" style="12" customWidth="1"/>
    <col min="3" max="3" width="12.140625" style="12" customWidth="1"/>
    <col min="4" max="4" width="11.421875" style="12" customWidth="1"/>
    <col min="5" max="5" width="10.00390625" style="12" customWidth="1"/>
    <col min="6" max="6" width="10.7109375" style="12" customWidth="1"/>
    <col min="7" max="7" width="11.140625" style="12" customWidth="1"/>
    <col min="8" max="8" width="11.7109375" style="12" customWidth="1"/>
    <col min="9" max="9" width="10.140625" style="12" customWidth="1"/>
    <col min="10" max="10" width="11.421875" style="12" customWidth="1"/>
    <col min="11" max="12" width="11.00390625" style="12" customWidth="1"/>
    <col min="13" max="13" width="10.421875" style="12" customWidth="1"/>
    <col min="14" max="14" width="11.421875" style="12" customWidth="1"/>
    <col min="15" max="16" width="8.7109375" style="12" customWidth="1"/>
    <col min="17" max="18" width="11.00390625" style="12" bestFit="1" customWidth="1"/>
    <col min="19" max="19" width="12.00390625" style="12" bestFit="1" customWidth="1"/>
    <col min="20" max="20" width="11.421875" style="12" customWidth="1"/>
    <col min="21" max="22" width="10.7109375" style="12" customWidth="1"/>
    <col min="23" max="23" width="12.7109375" style="12" customWidth="1"/>
    <col min="24" max="24" width="11.140625" style="12" bestFit="1" customWidth="1"/>
    <col min="25" max="25" width="10.140625" style="12" customWidth="1"/>
    <col min="26" max="26" width="12.140625" style="12" customWidth="1"/>
    <col min="27" max="27" width="11.28125" style="12" customWidth="1"/>
    <col min="28" max="28" width="10.28125" style="12" customWidth="1"/>
    <col min="29" max="29" width="15.421875" style="12" customWidth="1"/>
    <col min="30" max="16384" width="8.7109375" style="12" customWidth="1"/>
  </cols>
  <sheetData>
    <row r="1" ht="12.75">
      <c r="A1" s="20" t="s">
        <v>82</v>
      </c>
    </row>
    <row r="2" spans="1:29" ht="26.25">
      <c r="A2" s="1" t="s">
        <v>17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18</v>
      </c>
      <c r="H2" s="2" t="s">
        <v>177</v>
      </c>
      <c r="I2" s="4" t="s">
        <v>12</v>
      </c>
      <c r="J2" s="4" t="s">
        <v>23</v>
      </c>
      <c r="K2" s="4" t="s">
        <v>13</v>
      </c>
      <c r="L2" s="4" t="s">
        <v>16</v>
      </c>
      <c r="M2" s="4" t="s">
        <v>14</v>
      </c>
      <c r="N2" s="4" t="s">
        <v>15</v>
      </c>
      <c r="P2" s="1" t="s">
        <v>17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18</v>
      </c>
      <c r="W2" s="2" t="s">
        <v>177</v>
      </c>
      <c r="X2" s="4" t="s">
        <v>12</v>
      </c>
      <c r="Y2" s="4" t="s">
        <v>23</v>
      </c>
      <c r="Z2" s="4" t="s">
        <v>13</v>
      </c>
      <c r="AA2" s="4" t="s">
        <v>16</v>
      </c>
      <c r="AB2" s="4" t="s">
        <v>14</v>
      </c>
      <c r="AC2" s="4" t="s">
        <v>15</v>
      </c>
    </row>
    <row r="3" spans="1:29" ht="15.75" customHeight="1">
      <c r="A3" s="143" t="str">
        <f>P3</f>
        <v>2017-10</v>
      </c>
      <c r="B3" s="142">
        <f>Q3/1000000</f>
        <v>2.182647</v>
      </c>
      <c r="C3" s="142">
        <f aca="true" t="shared" si="0" ref="C3:C14">R3/1000000</f>
        <v>1.047307</v>
      </c>
      <c r="D3" s="142">
        <f aca="true" t="shared" si="1" ref="D3:D14">S3/1000000</f>
        <v>39.109451</v>
      </c>
      <c r="E3" s="142">
        <f aca="true" t="shared" si="2" ref="E3:E14">T3/1000000</f>
        <v>25.149059</v>
      </c>
      <c r="F3" s="142">
        <f aca="true" t="shared" si="3" ref="F3:F14">U3/1000000</f>
        <v>0.297223</v>
      </c>
      <c r="G3" s="142">
        <f aca="true" t="shared" si="4" ref="G3:G14">V3/1000000</f>
        <v>17.162618</v>
      </c>
      <c r="H3" s="142">
        <f aca="true" t="shared" si="5" ref="H3:H14">W3/1000000</f>
        <v>14.678054</v>
      </c>
      <c r="I3" s="142">
        <f aca="true" t="shared" si="6" ref="I3:I14">X3/1000000</f>
        <v>11.899854</v>
      </c>
      <c r="J3" s="142">
        <f aca="true" t="shared" si="7" ref="J3:J14">Y3/1000000</f>
        <v>4.217946</v>
      </c>
      <c r="K3" s="142">
        <f aca="true" t="shared" si="8" ref="K3:K14">Z3/1000000</f>
        <v>8.209863</v>
      </c>
      <c r="L3" s="142">
        <f aca="true" t="shared" si="9" ref="L3:L14">AA3/1000000</f>
        <v>3.985958</v>
      </c>
      <c r="M3" s="142">
        <f aca="true" t="shared" si="10" ref="M3:M14">AB3/1000000</f>
        <v>0.039318</v>
      </c>
      <c r="N3" s="142">
        <f aca="true" t="shared" si="11" ref="N3:N15">SUM(B3:M3)</f>
        <v>127.97929799999999</v>
      </c>
      <c r="P3" s="140" t="s">
        <v>119</v>
      </c>
      <c r="Q3" s="141">
        <v>2182647</v>
      </c>
      <c r="R3" s="141">
        <v>1047307</v>
      </c>
      <c r="S3" s="141">
        <v>39109451</v>
      </c>
      <c r="T3" s="141">
        <v>25149059</v>
      </c>
      <c r="U3" s="141">
        <v>297223</v>
      </c>
      <c r="V3" s="141">
        <v>17162618</v>
      </c>
      <c r="W3" s="141">
        <v>14678054</v>
      </c>
      <c r="X3" s="141">
        <v>11899854</v>
      </c>
      <c r="Y3" s="141">
        <v>4217946</v>
      </c>
      <c r="Z3" s="141">
        <v>8209863</v>
      </c>
      <c r="AA3" s="141">
        <v>3985958</v>
      </c>
      <c r="AB3" s="141">
        <v>39318</v>
      </c>
      <c r="AC3" s="177">
        <f aca="true" t="shared" si="12" ref="AC3:AC14">SUM(Q3:AB3)</f>
        <v>127979298</v>
      </c>
    </row>
    <row r="4" spans="1:29" ht="12.75">
      <c r="A4" s="143" t="str">
        <f aca="true" t="shared" si="13" ref="A4:A14">P4</f>
        <v>2017-11</v>
      </c>
      <c r="B4" s="142">
        <f aca="true" t="shared" si="14" ref="B4:B14">Q4/1000000</f>
        <v>2.067297</v>
      </c>
      <c r="C4" s="142">
        <f t="shared" si="0"/>
        <v>1.185704</v>
      </c>
      <c r="D4" s="142">
        <f t="shared" si="1"/>
        <v>30.960021</v>
      </c>
      <c r="E4" s="142">
        <f t="shared" si="2"/>
        <v>18.390293</v>
      </c>
      <c r="F4" s="142">
        <f t="shared" si="3"/>
        <v>0.626428</v>
      </c>
      <c r="G4" s="142">
        <f t="shared" si="4"/>
        <v>15.678049</v>
      </c>
      <c r="H4" s="142">
        <f t="shared" si="5"/>
        <v>12.823776</v>
      </c>
      <c r="I4" s="142">
        <f t="shared" si="6"/>
        <v>9.153746</v>
      </c>
      <c r="J4" s="142">
        <f t="shared" si="7"/>
        <v>3.239965</v>
      </c>
      <c r="K4" s="142">
        <f t="shared" si="8"/>
        <v>3.794082</v>
      </c>
      <c r="L4" s="142">
        <f t="shared" si="9"/>
        <v>3.775264</v>
      </c>
      <c r="M4" s="142">
        <f t="shared" si="10"/>
        <v>0.047832</v>
      </c>
      <c r="N4" s="142">
        <f t="shared" si="11"/>
        <v>101.742457</v>
      </c>
      <c r="P4" s="140" t="s">
        <v>120</v>
      </c>
      <c r="Q4" s="141">
        <v>2067297</v>
      </c>
      <c r="R4" s="141">
        <v>1185704</v>
      </c>
      <c r="S4" s="141">
        <v>30960021</v>
      </c>
      <c r="T4" s="141">
        <v>18390293</v>
      </c>
      <c r="U4" s="141">
        <v>626428</v>
      </c>
      <c r="V4" s="141">
        <v>15678049</v>
      </c>
      <c r="W4" s="141">
        <v>12823776</v>
      </c>
      <c r="X4" s="141">
        <v>9153746</v>
      </c>
      <c r="Y4" s="141">
        <v>3239965</v>
      </c>
      <c r="Z4" s="141">
        <v>3794082</v>
      </c>
      <c r="AA4" s="141">
        <v>3775264</v>
      </c>
      <c r="AB4" s="141">
        <v>47832</v>
      </c>
      <c r="AC4" s="177">
        <f t="shared" si="12"/>
        <v>101742457</v>
      </c>
    </row>
    <row r="5" spans="1:29" ht="12.75">
      <c r="A5" s="143" t="str">
        <f t="shared" si="13"/>
        <v>2017-12</v>
      </c>
      <c r="B5" s="142">
        <f t="shared" si="14"/>
        <v>2.752273</v>
      </c>
      <c r="C5" s="142">
        <f t="shared" si="0"/>
        <v>1.020596</v>
      </c>
      <c r="D5" s="142">
        <f t="shared" si="1"/>
        <v>23.08335</v>
      </c>
      <c r="E5" s="142">
        <f t="shared" si="2"/>
        <v>17.886009</v>
      </c>
      <c r="F5" s="142">
        <f t="shared" si="3"/>
        <v>0.206336</v>
      </c>
      <c r="G5" s="142">
        <f t="shared" si="4"/>
        <v>16.988469</v>
      </c>
      <c r="H5" s="142">
        <f t="shared" si="5"/>
        <v>11.836583</v>
      </c>
      <c r="I5" s="142">
        <f t="shared" si="6"/>
        <v>12.789566</v>
      </c>
      <c r="J5" s="142">
        <f t="shared" si="7"/>
        <v>3.651295</v>
      </c>
      <c r="K5" s="142">
        <f t="shared" si="8"/>
        <v>3.812404</v>
      </c>
      <c r="L5" s="142">
        <f t="shared" si="9"/>
        <v>3.975783</v>
      </c>
      <c r="M5" s="142">
        <f t="shared" si="10"/>
        <v>0.055146</v>
      </c>
      <c r="N5" s="142">
        <f t="shared" si="11"/>
        <v>98.05781</v>
      </c>
      <c r="P5" s="140" t="s">
        <v>121</v>
      </c>
      <c r="Q5" s="141">
        <v>2752273</v>
      </c>
      <c r="R5" s="141">
        <v>1020596</v>
      </c>
      <c r="S5" s="141">
        <v>23083350</v>
      </c>
      <c r="T5" s="141">
        <v>17886009</v>
      </c>
      <c r="U5" s="141">
        <v>206336</v>
      </c>
      <c r="V5" s="141">
        <v>16988469</v>
      </c>
      <c r="W5" s="141">
        <v>11836583</v>
      </c>
      <c r="X5" s="141">
        <v>12789566</v>
      </c>
      <c r="Y5" s="141">
        <v>3651295</v>
      </c>
      <c r="Z5" s="141">
        <v>3812404</v>
      </c>
      <c r="AA5" s="141">
        <v>3975783</v>
      </c>
      <c r="AB5" s="141">
        <v>55146</v>
      </c>
      <c r="AC5" s="177">
        <f t="shared" si="12"/>
        <v>98057810</v>
      </c>
    </row>
    <row r="6" spans="1:29" ht="12.75">
      <c r="A6" s="143" t="str">
        <f t="shared" si="13"/>
        <v>2018-01</v>
      </c>
      <c r="B6" s="142">
        <f t="shared" si="14"/>
        <v>2.207216</v>
      </c>
      <c r="C6" s="142">
        <f t="shared" si="0"/>
        <v>1.473551</v>
      </c>
      <c r="D6" s="142">
        <f t="shared" si="1"/>
        <v>27.240312</v>
      </c>
      <c r="E6" s="142">
        <f t="shared" si="2"/>
        <v>24.572553</v>
      </c>
      <c r="F6" s="142">
        <f t="shared" si="3"/>
        <v>0.964692</v>
      </c>
      <c r="G6" s="142">
        <f t="shared" si="4"/>
        <v>17.200394</v>
      </c>
      <c r="H6" s="142">
        <f t="shared" si="5"/>
        <v>17.097637</v>
      </c>
      <c r="I6" s="142">
        <f t="shared" si="6"/>
        <v>12.88622</v>
      </c>
      <c r="J6" s="142">
        <f t="shared" si="7"/>
        <v>5.228439</v>
      </c>
      <c r="K6" s="142">
        <f t="shared" si="8"/>
        <v>1.867002</v>
      </c>
      <c r="L6" s="142">
        <f t="shared" si="9"/>
        <v>3.326379</v>
      </c>
      <c r="M6" s="142">
        <f t="shared" si="10"/>
        <v>0.084127</v>
      </c>
      <c r="N6" s="142">
        <f t="shared" si="11"/>
        <v>114.14852199999997</v>
      </c>
      <c r="P6" s="140" t="s">
        <v>122</v>
      </c>
      <c r="Q6" s="141">
        <v>2207216</v>
      </c>
      <c r="R6" s="141">
        <v>1473551</v>
      </c>
      <c r="S6" s="141">
        <v>27240312</v>
      </c>
      <c r="T6" s="141">
        <v>24572553</v>
      </c>
      <c r="U6" s="141">
        <v>964692</v>
      </c>
      <c r="V6" s="141">
        <v>17200394</v>
      </c>
      <c r="W6" s="141">
        <v>17097637</v>
      </c>
      <c r="X6" s="141">
        <v>12886220</v>
      </c>
      <c r="Y6" s="141">
        <v>5228439</v>
      </c>
      <c r="Z6" s="141">
        <v>1867002</v>
      </c>
      <c r="AA6" s="141">
        <v>3326379</v>
      </c>
      <c r="AB6" s="141">
        <v>84127</v>
      </c>
      <c r="AC6" s="177">
        <f t="shared" si="12"/>
        <v>114148522</v>
      </c>
    </row>
    <row r="7" spans="1:29" ht="12.75">
      <c r="A7" s="143" t="str">
        <f t="shared" si="13"/>
        <v>2018-02</v>
      </c>
      <c r="B7" s="142">
        <f t="shared" si="14"/>
        <v>1.796245</v>
      </c>
      <c r="C7" s="142">
        <f t="shared" si="0"/>
        <v>0.798592</v>
      </c>
      <c r="D7" s="142">
        <f t="shared" si="1"/>
        <v>26.105222</v>
      </c>
      <c r="E7" s="142">
        <f t="shared" si="2"/>
        <v>24.597413</v>
      </c>
      <c r="F7" s="142">
        <f t="shared" si="3"/>
        <v>0.480962</v>
      </c>
      <c r="G7" s="142">
        <f t="shared" si="4"/>
        <v>16.691049</v>
      </c>
      <c r="H7" s="142">
        <f t="shared" si="5"/>
        <v>21.496871</v>
      </c>
      <c r="I7" s="142">
        <f t="shared" si="6"/>
        <v>8.0512</v>
      </c>
      <c r="J7" s="142">
        <f t="shared" si="7"/>
        <v>11.988128</v>
      </c>
      <c r="K7" s="142">
        <f t="shared" si="8"/>
        <v>1.598931</v>
      </c>
      <c r="L7" s="142">
        <f t="shared" si="9"/>
        <v>4.526206</v>
      </c>
      <c r="M7" s="142">
        <f t="shared" si="10"/>
        <v>0.058269</v>
      </c>
      <c r="N7" s="142">
        <f t="shared" si="11"/>
        <v>118.18908799999998</v>
      </c>
      <c r="P7" s="140" t="s">
        <v>123</v>
      </c>
      <c r="Q7" s="141">
        <v>1796245</v>
      </c>
      <c r="R7" s="141">
        <v>798592</v>
      </c>
      <c r="S7" s="141">
        <v>26105222</v>
      </c>
      <c r="T7" s="141">
        <v>24597413</v>
      </c>
      <c r="U7" s="141">
        <v>480962</v>
      </c>
      <c r="V7" s="141">
        <v>16691049</v>
      </c>
      <c r="W7" s="141">
        <v>21496871</v>
      </c>
      <c r="X7" s="141">
        <v>8051200</v>
      </c>
      <c r="Y7" s="141">
        <v>11988128</v>
      </c>
      <c r="Z7" s="141">
        <v>1598931</v>
      </c>
      <c r="AA7" s="141">
        <v>4526206</v>
      </c>
      <c r="AB7" s="141">
        <v>58269</v>
      </c>
      <c r="AC7" s="177">
        <f t="shared" si="12"/>
        <v>118189088</v>
      </c>
    </row>
    <row r="8" spans="1:29" ht="12.75">
      <c r="A8" s="143" t="str">
        <f t="shared" si="13"/>
        <v>2018-03</v>
      </c>
      <c r="B8" s="142">
        <f t="shared" si="14"/>
        <v>2.425027</v>
      </c>
      <c r="C8" s="142">
        <f t="shared" si="0"/>
        <v>0.797821</v>
      </c>
      <c r="D8" s="142">
        <f t="shared" si="1"/>
        <v>30.307482</v>
      </c>
      <c r="E8" s="142">
        <f t="shared" si="2"/>
        <v>25.496552</v>
      </c>
      <c r="F8" s="142">
        <f t="shared" si="3"/>
        <v>0.275375</v>
      </c>
      <c r="G8" s="142">
        <f t="shared" si="4"/>
        <v>20.975704</v>
      </c>
      <c r="H8" s="142">
        <f t="shared" si="5"/>
        <v>11.746413</v>
      </c>
      <c r="I8" s="142">
        <f t="shared" si="6"/>
        <v>26.602771</v>
      </c>
      <c r="J8" s="142">
        <f t="shared" si="7"/>
        <v>4.547361</v>
      </c>
      <c r="K8" s="142">
        <f t="shared" si="8"/>
        <v>1.801798</v>
      </c>
      <c r="L8" s="142">
        <f t="shared" si="9"/>
        <v>4.328097</v>
      </c>
      <c r="M8" s="142">
        <f t="shared" si="10"/>
        <v>0.081765</v>
      </c>
      <c r="N8" s="142">
        <f t="shared" si="11"/>
        <v>129.386166</v>
      </c>
      <c r="P8" s="140" t="s">
        <v>124</v>
      </c>
      <c r="Q8" s="141">
        <v>2425027</v>
      </c>
      <c r="R8" s="141">
        <v>797821</v>
      </c>
      <c r="S8" s="141">
        <v>30307482</v>
      </c>
      <c r="T8" s="141">
        <v>25496552</v>
      </c>
      <c r="U8" s="141">
        <v>275375</v>
      </c>
      <c r="V8" s="141">
        <v>20975704</v>
      </c>
      <c r="W8" s="141">
        <v>11746413</v>
      </c>
      <c r="X8" s="141">
        <v>26602771</v>
      </c>
      <c r="Y8" s="141">
        <v>4547361</v>
      </c>
      <c r="Z8" s="141">
        <v>1801798</v>
      </c>
      <c r="AA8" s="141">
        <v>4328097</v>
      </c>
      <c r="AB8" s="141">
        <v>81765</v>
      </c>
      <c r="AC8" s="177">
        <f t="shared" si="12"/>
        <v>129386166</v>
      </c>
    </row>
    <row r="9" spans="1:29" ht="12.75">
      <c r="A9" s="143" t="str">
        <f t="shared" si="13"/>
        <v>2018-04</v>
      </c>
      <c r="B9" s="142">
        <f t="shared" si="14"/>
        <v>2.514159</v>
      </c>
      <c r="C9" s="142">
        <f t="shared" si="0"/>
        <v>0.873963</v>
      </c>
      <c r="D9" s="142">
        <f t="shared" si="1"/>
        <v>26.381296</v>
      </c>
      <c r="E9" s="142">
        <f t="shared" si="2"/>
        <v>27.770739</v>
      </c>
      <c r="F9" s="142">
        <f t="shared" si="3"/>
        <v>1.297616</v>
      </c>
      <c r="G9" s="142">
        <f t="shared" si="4"/>
        <v>18.049382</v>
      </c>
      <c r="H9" s="142">
        <f t="shared" si="5"/>
        <v>11.131902</v>
      </c>
      <c r="I9" s="142">
        <f t="shared" si="6"/>
        <v>7.780357</v>
      </c>
      <c r="J9" s="142">
        <f t="shared" si="7"/>
        <v>3.653588</v>
      </c>
      <c r="K9" s="142">
        <f t="shared" si="8"/>
        <v>2.506691</v>
      </c>
      <c r="L9" s="142">
        <f t="shared" si="9"/>
        <v>3.981305</v>
      </c>
      <c r="M9" s="142">
        <f t="shared" si="10"/>
        <v>0.094064</v>
      </c>
      <c r="N9" s="142">
        <f t="shared" si="11"/>
        <v>106.035062</v>
      </c>
      <c r="P9" s="140" t="s">
        <v>125</v>
      </c>
      <c r="Q9" s="141">
        <v>2514159</v>
      </c>
      <c r="R9" s="141">
        <v>873963</v>
      </c>
      <c r="S9" s="141">
        <v>26381296</v>
      </c>
      <c r="T9" s="141">
        <v>27770739</v>
      </c>
      <c r="U9" s="141">
        <v>1297616</v>
      </c>
      <c r="V9" s="141">
        <v>18049382</v>
      </c>
      <c r="W9" s="141">
        <v>11131902</v>
      </c>
      <c r="X9" s="141">
        <v>7780357</v>
      </c>
      <c r="Y9" s="141">
        <v>3653588</v>
      </c>
      <c r="Z9" s="141">
        <v>2506691</v>
      </c>
      <c r="AA9" s="141">
        <v>3981305</v>
      </c>
      <c r="AB9" s="141">
        <v>94064</v>
      </c>
      <c r="AC9" s="177">
        <f t="shared" si="12"/>
        <v>106035062</v>
      </c>
    </row>
    <row r="10" spans="1:29" ht="12.75">
      <c r="A10" s="143" t="str">
        <f t="shared" si="13"/>
        <v>2018-05</v>
      </c>
      <c r="B10" s="142">
        <f t="shared" si="14"/>
        <v>1.972897</v>
      </c>
      <c r="C10" s="142">
        <f t="shared" si="0"/>
        <v>0.939222</v>
      </c>
      <c r="D10" s="142">
        <f t="shared" si="1"/>
        <v>29.759604</v>
      </c>
      <c r="E10" s="142">
        <f t="shared" si="2"/>
        <v>34.404319</v>
      </c>
      <c r="F10" s="142">
        <f t="shared" si="3"/>
        <v>0.366948</v>
      </c>
      <c r="G10" s="142">
        <f t="shared" si="4"/>
        <v>21.032389</v>
      </c>
      <c r="H10" s="142">
        <f t="shared" si="5"/>
        <v>26.73683</v>
      </c>
      <c r="I10" s="142">
        <f t="shared" si="6"/>
        <v>8.163849</v>
      </c>
      <c r="J10" s="142">
        <f t="shared" si="7"/>
        <v>3.276428</v>
      </c>
      <c r="K10" s="142">
        <f t="shared" si="8"/>
        <v>2.896781</v>
      </c>
      <c r="L10" s="142">
        <f t="shared" si="9"/>
        <v>3.003148</v>
      </c>
      <c r="M10" s="142">
        <f t="shared" si="10"/>
        <v>0.07206</v>
      </c>
      <c r="N10" s="142">
        <f t="shared" si="11"/>
        <v>132.624475</v>
      </c>
      <c r="P10" s="140" t="s">
        <v>126</v>
      </c>
      <c r="Q10" s="141">
        <v>1972897</v>
      </c>
      <c r="R10" s="141">
        <v>939222</v>
      </c>
      <c r="S10" s="141">
        <v>29759604</v>
      </c>
      <c r="T10" s="141">
        <v>34404319</v>
      </c>
      <c r="U10" s="141">
        <v>366948</v>
      </c>
      <c r="V10" s="141">
        <v>21032389</v>
      </c>
      <c r="W10" s="141">
        <v>26736830</v>
      </c>
      <c r="X10" s="141">
        <v>8163849</v>
      </c>
      <c r="Y10" s="141">
        <v>3276428</v>
      </c>
      <c r="Z10" s="141">
        <v>2896781</v>
      </c>
      <c r="AA10" s="141">
        <v>3003148</v>
      </c>
      <c r="AB10" s="141">
        <v>72060</v>
      </c>
      <c r="AC10" s="177">
        <f t="shared" si="12"/>
        <v>132624475</v>
      </c>
    </row>
    <row r="11" spans="1:29" ht="12.75">
      <c r="A11" s="143" t="str">
        <f t="shared" si="13"/>
        <v>2018-06</v>
      </c>
      <c r="B11" s="142">
        <f t="shared" si="14"/>
        <v>1.746543</v>
      </c>
      <c r="C11" s="142">
        <f t="shared" si="0"/>
        <v>0.660392</v>
      </c>
      <c r="D11" s="142">
        <f t="shared" si="1"/>
        <v>25.895309</v>
      </c>
      <c r="E11" s="142">
        <f t="shared" si="2"/>
        <v>24.071503</v>
      </c>
      <c r="F11" s="142">
        <f t="shared" si="3"/>
        <v>1.235157</v>
      </c>
      <c r="G11" s="142">
        <f t="shared" si="4"/>
        <v>28.368882</v>
      </c>
      <c r="H11" s="142">
        <f t="shared" si="5"/>
        <v>32.377928</v>
      </c>
      <c r="I11" s="142">
        <f t="shared" si="6"/>
        <v>12.770658</v>
      </c>
      <c r="J11" s="142">
        <f t="shared" si="7"/>
        <v>3.993445</v>
      </c>
      <c r="K11" s="142">
        <f t="shared" si="8"/>
        <v>1.952171</v>
      </c>
      <c r="L11" s="142">
        <f t="shared" si="9"/>
        <v>5.975488</v>
      </c>
      <c r="M11" s="142">
        <f t="shared" si="10"/>
        <v>0.068235</v>
      </c>
      <c r="N11" s="142">
        <f t="shared" si="11"/>
        <v>139.115711</v>
      </c>
      <c r="P11" s="140" t="s">
        <v>127</v>
      </c>
      <c r="Q11" s="141">
        <v>1746543</v>
      </c>
      <c r="R11" s="141">
        <v>660392</v>
      </c>
      <c r="S11" s="141">
        <v>25895309</v>
      </c>
      <c r="T11" s="141">
        <v>24071503</v>
      </c>
      <c r="U11" s="141">
        <v>1235157</v>
      </c>
      <c r="V11" s="141">
        <v>28368882</v>
      </c>
      <c r="W11" s="141">
        <v>32377928</v>
      </c>
      <c r="X11" s="141">
        <v>12770658</v>
      </c>
      <c r="Y11" s="141">
        <v>3993445</v>
      </c>
      <c r="Z11" s="141">
        <v>1952171</v>
      </c>
      <c r="AA11" s="141">
        <v>5975488</v>
      </c>
      <c r="AB11" s="141">
        <v>68235</v>
      </c>
      <c r="AC11" s="177">
        <f t="shared" si="12"/>
        <v>139115711</v>
      </c>
    </row>
    <row r="12" spans="1:29" ht="12.75">
      <c r="A12" s="143" t="str">
        <f t="shared" si="13"/>
        <v>2018-07</v>
      </c>
      <c r="B12" s="142">
        <f t="shared" si="14"/>
        <v>2.225817</v>
      </c>
      <c r="C12" s="142">
        <f t="shared" si="0"/>
        <v>0.857927</v>
      </c>
      <c r="D12" s="142">
        <f t="shared" si="1"/>
        <v>23.654254</v>
      </c>
      <c r="E12" s="142">
        <f t="shared" si="2"/>
        <v>23.153105</v>
      </c>
      <c r="F12" s="142">
        <f t="shared" si="3"/>
        <v>0.232492</v>
      </c>
      <c r="G12" s="142">
        <f t="shared" si="4"/>
        <v>24.342159</v>
      </c>
      <c r="H12" s="142">
        <f t="shared" si="5"/>
        <v>29.194987</v>
      </c>
      <c r="I12" s="142">
        <f t="shared" si="6"/>
        <v>8.410916</v>
      </c>
      <c r="J12" s="142">
        <f t="shared" si="7"/>
        <v>3.811032</v>
      </c>
      <c r="K12" s="142">
        <f t="shared" si="8"/>
        <v>1.943955</v>
      </c>
      <c r="L12" s="142">
        <f t="shared" si="9"/>
        <v>3.937781</v>
      </c>
      <c r="M12" s="142">
        <f t="shared" si="10"/>
        <v>0.08241</v>
      </c>
      <c r="N12" s="142">
        <f t="shared" si="11"/>
        <v>121.846835</v>
      </c>
      <c r="P12" s="140" t="s">
        <v>128</v>
      </c>
      <c r="Q12" s="141">
        <v>2225817</v>
      </c>
      <c r="R12" s="141">
        <v>857927</v>
      </c>
      <c r="S12" s="141">
        <v>23654254</v>
      </c>
      <c r="T12" s="141">
        <v>23153105</v>
      </c>
      <c r="U12" s="141">
        <v>232492</v>
      </c>
      <c r="V12" s="141">
        <v>24342159</v>
      </c>
      <c r="W12" s="141">
        <v>29194987</v>
      </c>
      <c r="X12" s="141">
        <v>8410916</v>
      </c>
      <c r="Y12" s="141">
        <v>3811032</v>
      </c>
      <c r="Z12" s="141">
        <v>1943955</v>
      </c>
      <c r="AA12" s="141">
        <v>3937781</v>
      </c>
      <c r="AB12" s="141">
        <v>82410</v>
      </c>
      <c r="AC12" s="177">
        <f t="shared" si="12"/>
        <v>121846835</v>
      </c>
    </row>
    <row r="13" spans="1:29" ht="12.75">
      <c r="A13" s="143" t="str">
        <f t="shared" si="13"/>
        <v>2018-08</v>
      </c>
      <c r="B13" s="142">
        <f t="shared" si="14"/>
        <v>2.890281</v>
      </c>
      <c r="C13" s="142">
        <f t="shared" si="0"/>
        <v>0.927928</v>
      </c>
      <c r="D13" s="142">
        <f t="shared" si="1"/>
        <v>31.932974</v>
      </c>
      <c r="E13" s="142">
        <f t="shared" si="2"/>
        <v>30.57699</v>
      </c>
      <c r="F13" s="142">
        <f t="shared" si="3"/>
        <v>0.601073</v>
      </c>
      <c r="G13" s="142">
        <f t="shared" si="4"/>
        <v>36.040332</v>
      </c>
      <c r="H13" s="142">
        <f t="shared" si="5"/>
        <v>22.934797</v>
      </c>
      <c r="I13" s="142">
        <f t="shared" si="6"/>
        <v>21.604348</v>
      </c>
      <c r="J13" s="142">
        <f t="shared" si="7"/>
        <v>4.354952</v>
      </c>
      <c r="K13" s="142">
        <f t="shared" si="8"/>
        <v>2.075595</v>
      </c>
      <c r="L13" s="142">
        <f t="shared" si="9"/>
        <v>4.174653</v>
      </c>
      <c r="M13" s="142">
        <f t="shared" si="10"/>
        <v>0.125099</v>
      </c>
      <c r="N13" s="142">
        <f t="shared" si="11"/>
        <v>158.23902200000003</v>
      </c>
      <c r="P13" s="140" t="s">
        <v>129</v>
      </c>
      <c r="Q13" s="141">
        <v>2890281</v>
      </c>
      <c r="R13" s="141">
        <v>927928</v>
      </c>
      <c r="S13" s="141">
        <v>31932974</v>
      </c>
      <c r="T13" s="141">
        <v>30576990</v>
      </c>
      <c r="U13" s="141">
        <v>601073</v>
      </c>
      <c r="V13" s="141">
        <v>36040332</v>
      </c>
      <c r="W13" s="141">
        <v>22934797</v>
      </c>
      <c r="X13" s="141">
        <v>21604348</v>
      </c>
      <c r="Y13" s="141">
        <v>4354952</v>
      </c>
      <c r="Z13" s="141">
        <v>2075595</v>
      </c>
      <c r="AA13" s="141">
        <v>4174653</v>
      </c>
      <c r="AB13" s="141">
        <v>125099</v>
      </c>
      <c r="AC13" s="177">
        <f t="shared" si="12"/>
        <v>158239022</v>
      </c>
    </row>
    <row r="14" spans="1:29" ht="12.75">
      <c r="A14" s="143" t="str">
        <f t="shared" si="13"/>
        <v>2018-09</v>
      </c>
      <c r="B14" s="142">
        <f t="shared" si="14"/>
        <v>1.794933</v>
      </c>
      <c r="C14" s="142">
        <f t="shared" si="0"/>
        <v>0.6529</v>
      </c>
      <c r="D14" s="142">
        <f t="shared" si="1"/>
        <v>33.885647</v>
      </c>
      <c r="E14" s="142">
        <f t="shared" si="2"/>
        <v>21.662549</v>
      </c>
      <c r="F14" s="142">
        <f t="shared" si="3"/>
        <v>0.530139</v>
      </c>
      <c r="G14" s="142">
        <f t="shared" si="4"/>
        <v>16.854361</v>
      </c>
      <c r="H14" s="142">
        <f t="shared" si="5"/>
        <v>27.896501</v>
      </c>
      <c r="I14" s="142">
        <f t="shared" si="6"/>
        <v>17.01794</v>
      </c>
      <c r="J14" s="142">
        <f t="shared" si="7"/>
        <v>3.419459</v>
      </c>
      <c r="K14" s="142">
        <f t="shared" si="8"/>
        <v>2.442031</v>
      </c>
      <c r="L14" s="142">
        <f t="shared" si="9"/>
        <v>3.454143</v>
      </c>
      <c r="M14" s="142">
        <f t="shared" si="10"/>
        <v>0.089007</v>
      </c>
      <c r="N14" s="142">
        <f t="shared" si="11"/>
        <v>129.69961</v>
      </c>
      <c r="P14" s="140" t="s">
        <v>130</v>
      </c>
      <c r="Q14" s="141">
        <v>1794933</v>
      </c>
      <c r="R14" s="141">
        <v>652900</v>
      </c>
      <c r="S14" s="141">
        <v>33885647</v>
      </c>
      <c r="T14" s="141">
        <v>21662549</v>
      </c>
      <c r="U14" s="141">
        <v>530139</v>
      </c>
      <c r="V14" s="141">
        <v>16854361</v>
      </c>
      <c r="W14" s="141">
        <v>27896501</v>
      </c>
      <c r="X14" s="141">
        <v>17017940</v>
      </c>
      <c r="Y14" s="141">
        <v>3419459</v>
      </c>
      <c r="Z14" s="141">
        <v>2442031</v>
      </c>
      <c r="AA14" s="141">
        <v>3454143</v>
      </c>
      <c r="AB14" s="141">
        <v>89007</v>
      </c>
      <c r="AC14" s="177">
        <f t="shared" si="12"/>
        <v>129699610</v>
      </c>
    </row>
    <row r="15" spans="1:29" ht="12.75">
      <c r="A15" s="144" t="s">
        <v>19</v>
      </c>
      <c r="B15" s="142">
        <f>SUM(B3:B14)</f>
        <v>26.575335000000003</v>
      </c>
      <c r="C15" s="142">
        <f aca="true" t="shared" si="15" ref="C15:M15">SUM(C3:C14)</f>
        <v>11.235903000000002</v>
      </c>
      <c r="D15" s="142">
        <f t="shared" si="15"/>
        <v>348.31492199999997</v>
      </c>
      <c r="E15" s="142">
        <f t="shared" si="15"/>
        <v>297.731084</v>
      </c>
      <c r="F15" s="142">
        <f t="shared" si="15"/>
        <v>7.114440999999999</v>
      </c>
      <c r="G15" s="142">
        <f t="shared" si="15"/>
        <v>249.383788</v>
      </c>
      <c r="H15" s="142">
        <f t="shared" si="15"/>
        <v>239.952279</v>
      </c>
      <c r="I15" s="142">
        <f t="shared" si="15"/>
        <v>157.131425</v>
      </c>
      <c r="J15" s="142">
        <f t="shared" si="15"/>
        <v>55.382037999999994</v>
      </c>
      <c r="K15" s="142">
        <f t="shared" si="15"/>
        <v>34.901303999999996</v>
      </c>
      <c r="L15" s="142">
        <f t="shared" si="15"/>
        <v>48.444205000000004</v>
      </c>
      <c r="M15" s="142">
        <f t="shared" si="15"/>
        <v>0.897332</v>
      </c>
      <c r="N15" s="142">
        <f t="shared" si="11"/>
        <v>1477.064056</v>
      </c>
      <c r="P15" s="144" t="s">
        <v>19</v>
      </c>
      <c r="Q15" s="177">
        <f aca="true" t="shared" si="16" ref="Q15:AC15">SUM(Q3:Q14)</f>
        <v>26575335</v>
      </c>
      <c r="R15" s="177">
        <f t="shared" si="16"/>
        <v>11235903</v>
      </c>
      <c r="S15" s="177">
        <f t="shared" si="16"/>
        <v>348314922</v>
      </c>
      <c r="T15" s="177">
        <f t="shared" si="16"/>
        <v>297731084</v>
      </c>
      <c r="U15" s="177">
        <f t="shared" si="16"/>
        <v>7114441</v>
      </c>
      <c r="V15" s="177">
        <f t="shared" si="16"/>
        <v>249383788</v>
      </c>
      <c r="W15" s="177">
        <f t="shared" si="16"/>
        <v>239952279</v>
      </c>
      <c r="X15" s="177">
        <f t="shared" si="16"/>
        <v>157131425</v>
      </c>
      <c r="Y15" s="177">
        <f t="shared" si="16"/>
        <v>55382038</v>
      </c>
      <c r="Z15" s="177">
        <f t="shared" si="16"/>
        <v>34901304</v>
      </c>
      <c r="AA15" s="177">
        <f t="shared" si="16"/>
        <v>48444205</v>
      </c>
      <c r="AB15" s="177">
        <f t="shared" si="16"/>
        <v>897332</v>
      </c>
      <c r="AC15" s="177">
        <f t="shared" si="16"/>
        <v>1477064056</v>
      </c>
    </row>
    <row r="16" spans="1:13" ht="12.75">
      <c r="A16" s="12" t="s">
        <v>36</v>
      </c>
      <c r="B16" s="145">
        <f>AVERAGE(B3:B14)</f>
        <v>2.2146112500000004</v>
      </c>
      <c r="C16" s="145">
        <f aca="true" t="shared" si="17" ref="C16:M16">AVERAGE(C3:C14)</f>
        <v>0.9363252500000002</v>
      </c>
      <c r="D16" s="145">
        <f t="shared" si="17"/>
        <v>29.026243499999996</v>
      </c>
      <c r="E16" s="145">
        <f t="shared" si="17"/>
        <v>24.810923666666667</v>
      </c>
      <c r="F16" s="145">
        <f t="shared" si="17"/>
        <v>0.5928700833333332</v>
      </c>
      <c r="G16" s="145">
        <f t="shared" si="17"/>
        <v>20.781982333333335</v>
      </c>
      <c r="H16" s="145">
        <f t="shared" si="17"/>
        <v>19.99602325</v>
      </c>
      <c r="I16" s="145">
        <f t="shared" si="17"/>
        <v>13.094285416666667</v>
      </c>
      <c r="J16" s="145">
        <f t="shared" si="17"/>
        <v>4.615169833333333</v>
      </c>
      <c r="K16" s="145">
        <f t="shared" si="17"/>
        <v>2.9084419999999995</v>
      </c>
      <c r="L16" s="145">
        <f t="shared" si="17"/>
        <v>4.037017083333334</v>
      </c>
      <c r="M16" s="145">
        <f t="shared" si="17"/>
        <v>0.07477766666666667</v>
      </c>
    </row>
    <row r="17" spans="1:16" ht="12.75">
      <c r="A17" s="240" t="s">
        <v>131</v>
      </c>
      <c r="B17" s="236">
        <v>31.037472</v>
      </c>
      <c r="C17" s="236">
        <v>6.667925000000001</v>
      </c>
      <c r="D17" s="236">
        <v>384.034918</v>
      </c>
      <c r="E17" s="236">
        <v>257.503303</v>
      </c>
      <c r="F17" s="236">
        <v>6.870180000000001</v>
      </c>
      <c r="G17" s="236">
        <v>208.186137</v>
      </c>
      <c r="H17" s="236">
        <v>107.76190599999998</v>
      </c>
      <c r="I17" s="236">
        <v>102.27287900000002</v>
      </c>
      <c r="J17" s="236">
        <v>47.91773800000001</v>
      </c>
      <c r="K17" s="236">
        <v>26.890238</v>
      </c>
      <c r="L17" s="236">
        <v>87.788123</v>
      </c>
      <c r="M17" s="236">
        <v>3.555455</v>
      </c>
      <c r="N17" s="142">
        <f>SUM(B17:M17)</f>
        <v>1270.486274</v>
      </c>
      <c r="P17" s="38" t="s">
        <v>157</v>
      </c>
    </row>
    <row r="19" spans="2:13" ht="12.75">
      <c r="B19" s="345" t="s">
        <v>37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1:13" ht="26.25">
      <c r="A20" s="76" t="s">
        <v>20</v>
      </c>
      <c r="B20" s="226" t="s">
        <v>7</v>
      </c>
      <c r="C20" s="226" t="s">
        <v>8</v>
      </c>
      <c r="D20" s="226" t="s">
        <v>9</v>
      </c>
      <c r="E20" s="226" t="s">
        <v>10</v>
      </c>
      <c r="F20" s="226" t="s">
        <v>11</v>
      </c>
      <c r="G20" s="77" t="s">
        <v>18</v>
      </c>
      <c r="H20" s="227" t="s">
        <v>177</v>
      </c>
      <c r="I20" s="77" t="s">
        <v>12</v>
      </c>
      <c r="J20" s="77" t="s">
        <v>23</v>
      </c>
      <c r="K20" s="77" t="s">
        <v>13</v>
      </c>
      <c r="L20" s="77" t="s">
        <v>16</v>
      </c>
      <c r="M20" s="77" t="s">
        <v>14</v>
      </c>
    </row>
    <row r="21" spans="1:15" ht="12.75">
      <c r="A21" s="228">
        <v>43009</v>
      </c>
      <c r="B21" s="229">
        <f aca="true" t="shared" si="18" ref="B21:B32">B3-B$16</f>
        <v>-0.03196425000000058</v>
      </c>
      <c r="C21" s="229">
        <f aca="true" t="shared" si="19" ref="C21:M21">C3-C$16</f>
        <v>0.11098174999999977</v>
      </c>
      <c r="D21" s="229">
        <f t="shared" si="19"/>
        <v>10.083207500000004</v>
      </c>
      <c r="E21" s="229">
        <f t="shared" si="19"/>
        <v>0.3381353333333337</v>
      </c>
      <c r="F21" s="229">
        <f t="shared" si="19"/>
        <v>-0.2956470833333332</v>
      </c>
      <c r="G21" s="229">
        <f t="shared" si="19"/>
        <v>-3.619364333333337</v>
      </c>
      <c r="H21" s="229">
        <f t="shared" si="19"/>
        <v>-5.317969250000001</v>
      </c>
      <c r="I21" s="229">
        <f t="shared" si="19"/>
        <v>-1.1944314166666672</v>
      </c>
      <c r="J21" s="229">
        <f t="shared" si="19"/>
        <v>-0.39722383333333244</v>
      </c>
      <c r="K21" s="229">
        <f t="shared" si="19"/>
        <v>5.301421000000001</v>
      </c>
      <c r="L21" s="229">
        <f t="shared" si="19"/>
        <v>-0.05105908333333353</v>
      </c>
      <c r="M21" s="229">
        <f t="shared" si="19"/>
        <v>-0.035459666666666674</v>
      </c>
      <c r="N21" s="14"/>
      <c r="O21" s="14"/>
    </row>
    <row r="22" spans="1:13" ht="12.75">
      <c r="A22" s="228">
        <v>43040</v>
      </c>
      <c r="B22" s="229">
        <f t="shared" si="18"/>
        <v>-0.14731425000000042</v>
      </c>
      <c r="C22" s="229">
        <f aca="true" t="shared" si="20" ref="C22:M22">C4-C$16</f>
        <v>0.24937874999999987</v>
      </c>
      <c r="D22" s="229">
        <f t="shared" si="20"/>
        <v>1.933777500000005</v>
      </c>
      <c r="E22" s="229">
        <f t="shared" si="20"/>
        <v>-6.420630666666668</v>
      </c>
      <c r="F22" s="229">
        <f t="shared" si="20"/>
        <v>0.03355791666666674</v>
      </c>
      <c r="G22" s="229">
        <f t="shared" si="20"/>
        <v>-5.103933333333336</v>
      </c>
      <c r="H22" s="229">
        <f t="shared" si="20"/>
        <v>-7.17224725</v>
      </c>
      <c r="I22" s="229">
        <f t="shared" si="20"/>
        <v>-3.9405394166666667</v>
      </c>
      <c r="J22" s="229">
        <f t="shared" si="20"/>
        <v>-1.3752048333333327</v>
      </c>
      <c r="K22" s="229">
        <f t="shared" si="20"/>
        <v>0.8856400000000004</v>
      </c>
      <c r="L22" s="229">
        <f t="shared" si="20"/>
        <v>-0.2617530833333337</v>
      </c>
      <c r="M22" s="229">
        <f t="shared" si="20"/>
        <v>-0.026945666666666673</v>
      </c>
    </row>
    <row r="23" spans="1:13" ht="12.75">
      <c r="A23" s="228">
        <v>43070</v>
      </c>
      <c r="B23" s="229">
        <f t="shared" si="18"/>
        <v>0.5376617499999998</v>
      </c>
      <c r="C23" s="229">
        <f aca="true" t="shared" si="21" ref="C23:M23">C5-C$16</f>
        <v>0.08427074999999984</v>
      </c>
      <c r="D23" s="229">
        <f t="shared" si="21"/>
        <v>-5.942893499999997</v>
      </c>
      <c r="E23" s="229">
        <f t="shared" si="21"/>
        <v>-6.924914666666666</v>
      </c>
      <c r="F23" s="229">
        <f t="shared" si="21"/>
        <v>-0.3865340833333333</v>
      </c>
      <c r="G23" s="229">
        <f t="shared" si="21"/>
        <v>-3.793513333333337</v>
      </c>
      <c r="H23" s="229">
        <f t="shared" si="21"/>
        <v>-8.159440250000001</v>
      </c>
      <c r="I23" s="229">
        <f t="shared" si="21"/>
        <v>-0.304719416666666</v>
      </c>
      <c r="J23" s="229">
        <f t="shared" si="21"/>
        <v>-0.9638748333333327</v>
      </c>
      <c r="K23" s="229">
        <f t="shared" si="21"/>
        <v>0.9039620000000004</v>
      </c>
      <c r="L23" s="229">
        <f t="shared" si="21"/>
        <v>-0.0612340833333338</v>
      </c>
      <c r="M23" s="229">
        <f t="shared" si="21"/>
        <v>-0.019631666666666672</v>
      </c>
    </row>
    <row r="24" spans="1:13" ht="12.75">
      <c r="A24" s="228">
        <v>43101</v>
      </c>
      <c r="B24" s="229">
        <f t="shared" si="18"/>
        <v>-0.0073952500000005195</v>
      </c>
      <c r="C24" s="229">
        <f aca="true" t="shared" si="22" ref="C24:M24">C6-C$16</f>
        <v>0.5372257499999998</v>
      </c>
      <c r="D24" s="229">
        <f t="shared" si="22"/>
        <v>-1.7859314999999967</v>
      </c>
      <c r="E24" s="229">
        <f t="shared" si="22"/>
        <v>-0.23837066666666828</v>
      </c>
      <c r="F24" s="229">
        <f t="shared" si="22"/>
        <v>0.37182191666666675</v>
      </c>
      <c r="G24" s="229">
        <f t="shared" si="22"/>
        <v>-3.581588333333336</v>
      </c>
      <c r="H24" s="229">
        <f t="shared" si="22"/>
        <v>-2.8983862500000015</v>
      </c>
      <c r="I24" s="229">
        <f t="shared" si="22"/>
        <v>-0.2080654166666669</v>
      </c>
      <c r="J24" s="229">
        <f t="shared" si="22"/>
        <v>0.613269166666667</v>
      </c>
      <c r="K24" s="229">
        <f t="shared" si="22"/>
        <v>-1.0414399999999995</v>
      </c>
      <c r="L24" s="229">
        <f t="shared" si="22"/>
        <v>-0.7106380833333334</v>
      </c>
      <c r="M24" s="229">
        <f t="shared" si="22"/>
        <v>0.00934933333333332</v>
      </c>
    </row>
    <row r="25" spans="1:13" ht="12.75">
      <c r="A25" s="228">
        <v>43132</v>
      </c>
      <c r="B25" s="229">
        <f t="shared" si="18"/>
        <v>-0.4183662500000003</v>
      </c>
      <c r="C25" s="229">
        <f aca="true" t="shared" si="23" ref="C25:M25">C7-C$16</f>
        <v>-0.13773325000000025</v>
      </c>
      <c r="D25" s="229">
        <f t="shared" si="23"/>
        <v>-2.921021499999995</v>
      </c>
      <c r="E25" s="229">
        <f t="shared" si="23"/>
        <v>-0.21351066666666796</v>
      </c>
      <c r="F25" s="229">
        <f t="shared" si="23"/>
        <v>-0.11190808333333324</v>
      </c>
      <c r="G25" s="229">
        <f t="shared" si="23"/>
        <v>-4.090933333333336</v>
      </c>
      <c r="H25" s="229">
        <f t="shared" si="23"/>
        <v>1.5008477499999984</v>
      </c>
      <c r="I25" s="229">
        <f t="shared" si="23"/>
        <v>-5.043085416666667</v>
      </c>
      <c r="J25" s="229">
        <f t="shared" si="23"/>
        <v>7.372958166666667</v>
      </c>
      <c r="K25" s="229">
        <f t="shared" si="23"/>
        <v>-1.3095109999999994</v>
      </c>
      <c r="L25" s="229">
        <f t="shared" si="23"/>
        <v>0.48918891666666653</v>
      </c>
      <c r="M25" s="229">
        <f t="shared" si="23"/>
        <v>-0.01650866666666667</v>
      </c>
    </row>
    <row r="26" spans="1:13" ht="12.75">
      <c r="A26" s="228">
        <v>43160</v>
      </c>
      <c r="B26" s="229">
        <f t="shared" si="18"/>
        <v>0.21041574999999968</v>
      </c>
      <c r="C26" s="229">
        <f aca="true" t="shared" si="24" ref="C26:M26">C8-C$16</f>
        <v>-0.13850425000000022</v>
      </c>
      <c r="D26" s="229">
        <f t="shared" si="24"/>
        <v>1.2812385000000042</v>
      </c>
      <c r="E26" s="229">
        <f t="shared" si="24"/>
        <v>0.6856283333333337</v>
      </c>
      <c r="F26" s="229">
        <f t="shared" si="24"/>
        <v>-0.31749508333333326</v>
      </c>
      <c r="G26" s="229">
        <f t="shared" si="24"/>
        <v>0.19372166666666502</v>
      </c>
      <c r="H26" s="229">
        <f t="shared" si="24"/>
        <v>-8.24961025</v>
      </c>
      <c r="I26" s="229">
        <f t="shared" si="24"/>
        <v>13.508485583333334</v>
      </c>
      <c r="J26" s="229">
        <f t="shared" si="24"/>
        <v>-0.06780883333333243</v>
      </c>
      <c r="K26" s="229">
        <f t="shared" si="24"/>
        <v>-1.1066439999999995</v>
      </c>
      <c r="L26" s="229">
        <f t="shared" si="24"/>
        <v>0.291079916666666</v>
      </c>
      <c r="M26" s="229">
        <f t="shared" si="24"/>
        <v>0.0069873333333333315</v>
      </c>
    </row>
    <row r="27" spans="1:13" ht="12.75">
      <c r="A27" s="228">
        <v>43191</v>
      </c>
      <c r="B27" s="229">
        <f t="shared" si="18"/>
        <v>0.29954774999999945</v>
      </c>
      <c r="C27" s="229">
        <f aca="true" t="shared" si="25" ref="C27:M27">C9-C$16</f>
        <v>-0.062362250000000174</v>
      </c>
      <c r="D27" s="229">
        <f t="shared" si="25"/>
        <v>-2.644947499999997</v>
      </c>
      <c r="E27" s="229">
        <f t="shared" si="25"/>
        <v>2.9598153333333315</v>
      </c>
      <c r="F27" s="229">
        <f t="shared" si="25"/>
        <v>0.7047459166666669</v>
      </c>
      <c r="G27" s="229">
        <f t="shared" si="25"/>
        <v>-2.732600333333334</v>
      </c>
      <c r="H27" s="229">
        <f t="shared" si="25"/>
        <v>-8.86412125</v>
      </c>
      <c r="I27" s="229">
        <f t="shared" si="25"/>
        <v>-5.313928416666666</v>
      </c>
      <c r="J27" s="229">
        <f t="shared" si="25"/>
        <v>-0.9615818333333328</v>
      </c>
      <c r="K27" s="229">
        <f t="shared" si="25"/>
        <v>-0.4017509999999995</v>
      </c>
      <c r="L27" s="229">
        <f t="shared" si="25"/>
        <v>-0.05571208333333377</v>
      </c>
      <c r="M27" s="229">
        <f t="shared" si="25"/>
        <v>0.019286333333333322</v>
      </c>
    </row>
    <row r="28" spans="1:13" ht="12.75">
      <c r="A28" s="228">
        <v>43221</v>
      </c>
      <c r="B28" s="229">
        <f t="shared" si="18"/>
        <v>-0.24171425000000046</v>
      </c>
      <c r="C28" s="229">
        <f aca="true" t="shared" si="26" ref="C28:M28">C10-C$16</f>
        <v>0.0028967499999997814</v>
      </c>
      <c r="D28" s="229">
        <f t="shared" si="26"/>
        <v>0.7333605000000034</v>
      </c>
      <c r="E28" s="229">
        <f t="shared" si="26"/>
        <v>9.593395333333333</v>
      </c>
      <c r="F28" s="229">
        <f t="shared" si="26"/>
        <v>-0.22592208333333325</v>
      </c>
      <c r="G28" s="229">
        <f t="shared" si="26"/>
        <v>0.2504066666666631</v>
      </c>
      <c r="H28" s="229">
        <f t="shared" si="26"/>
        <v>6.740806750000001</v>
      </c>
      <c r="I28" s="229">
        <f t="shared" si="26"/>
        <v>-4.930436416666666</v>
      </c>
      <c r="J28" s="229">
        <f t="shared" si="26"/>
        <v>-1.3387418333333327</v>
      </c>
      <c r="K28" s="229">
        <f t="shared" si="26"/>
        <v>-0.0116609999999997</v>
      </c>
      <c r="L28" s="229">
        <f t="shared" si="26"/>
        <v>-1.0338690833333337</v>
      </c>
      <c r="M28" s="229">
        <f t="shared" si="26"/>
        <v>-0.0027176666666666738</v>
      </c>
    </row>
    <row r="29" spans="1:13" ht="12.75">
      <c r="A29" s="228">
        <v>43252</v>
      </c>
      <c r="B29" s="229">
        <f t="shared" si="18"/>
        <v>-0.4680682500000004</v>
      </c>
      <c r="C29" s="229">
        <f aca="true" t="shared" si="27" ref="C29:M29">C11-C$16</f>
        <v>-0.27593325000000024</v>
      </c>
      <c r="D29" s="229">
        <f t="shared" si="27"/>
        <v>-3.130934499999995</v>
      </c>
      <c r="E29" s="229">
        <f t="shared" si="27"/>
        <v>-0.7394206666666676</v>
      </c>
      <c r="F29" s="229">
        <f t="shared" si="27"/>
        <v>0.6422869166666668</v>
      </c>
      <c r="G29" s="229">
        <f t="shared" si="27"/>
        <v>7.586899666666664</v>
      </c>
      <c r="H29" s="229">
        <f t="shared" si="27"/>
        <v>12.381904749999997</v>
      </c>
      <c r="I29" s="229">
        <f t="shared" si="27"/>
        <v>-0.3236274166666675</v>
      </c>
      <c r="J29" s="229">
        <f t="shared" si="27"/>
        <v>-0.621724833333333</v>
      </c>
      <c r="K29" s="229">
        <f t="shared" si="27"/>
        <v>-0.9562709999999994</v>
      </c>
      <c r="L29" s="229">
        <f t="shared" si="27"/>
        <v>1.9384709166666667</v>
      </c>
      <c r="M29" s="229">
        <f t="shared" si="27"/>
        <v>-0.006542666666666669</v>
      </c>
    </row>
    <row r="30" spans="1:13" ht="12.75">
      <c r="A30" s="228">
        <v>43282</v>
      </c>
      <c r="B30" s="229">
        <f t="shared" si="18"/>
        <v>0.011205749999999792</v>
      </c>
      <c r="C30" s="229">
        <f aca="true" t="shared" si="28" ref="C30:M30">C12-C$16</f>
        <v>-0.07839825000000022</v>
      </c>
      <c r="D30" s="229">
        <f t="shared" si="28"/>
        <v>-5.371989499999994</v>
      </c>
      <c r="E30" s="229">
        <f t="shared" si="28"/>
        <v>-1.6578186666666674</v>
      </c>
      <c r="F30" s="229">
        <f t="shared" si="28"/>
        <v>-0.3603780833333332</v>
      </c>
      <c r="G30" s="229">
        <f t="shared" si="28"/>
        <v>3.5601766666666634</v>
      </c>
      <c r="H30" s="229">
        <f t="shared" si="28"/>
        <v>9.19896375</v>
      </c>
      <c r="I30" s="229">
        <f t="shared" si="28"/>
        <v>-4.683369416666666</v>
      </c>
      <c r="J30" s="229">
        <f t="shared" si="28"/>
        <v>-0.8041378333333329</v>
      </c>
      <c r="K30" s="229">
        <f t="shared" si="28"/>
        <v>-0.9644869999999994</v>
      </c>
      <c r="L30" s="229">
        <f t="shared" si="28"/>
        <v>-0.09923608333333345</v>
      </c>
      <c r="M30" s="229">
        <f t="shared" si="28"/>
        <v>0.007632333333333324</v>
      </c>
    </row>
    <row r="31" spans="1:13" ht="12.75">
      <c r="A31" s="228">
        <v>43313</v>
      </c>
      <c r="B31" s="229">
        <f t="shared" si="18"/>
        <v>0.6756697499999995</v>
      </c>
      <c r="C31" s="229">
        <f aca="true" t="shared" si="29" ref="C31:M31">C13-C$16</f>
        <v>-0.008397250000000245</v>
      </c>
      <c r="D31" s="229">
        <f t="shared" si="29"/>
        <v>2.9067305000000054</v>
      </c>
      <c r="E31" s="229">
        <f t="shared" si="29"/>
        <v>5.766066333333331</v>
      </c>
      <c r="F31" s="229">
        <f t="shared" si="29"/>
        <v>0.008202916666666726</v>
      </c>
      <c r="G31" s="229">
        <f t="shared" si="29"/>
        <v>15.258349666666664</v>
      </c>
      <c r="H31" s="229">
        <f t="shared" si="29"/>
        <v>2.9387737499999993</v>
      </c>
      <c r="I31" s="229">
        <f t="shared" si="29"/>
        <v>8.510062583333335</v>
      </c>
      <c r="J31" s="229">
        <f t="shared" si="29"/>
        <v>-0.2602178333333329</v>
      </c>
      <c r="K31" s="229">
        <f t="shared" si="29"/>
        <v>-0.8328469999999997</v>
      </c>
      <c r="L31" s="229">
        <f t="shared" si="29"/>
        <v>0.13763591666666652</v>
      </c>
      <c r="M31" s="229">
        <f t="shared" si="29"/>
        <v>0.050321333333333315</v>
      </c>
    </row>
    <row r="32" spans="1:13" ht="12.75">
      <c r="A32" s="228">
        <v>43344</v>
      </c>
      <c r="B32" s="229">
        <f t="shared" si="18"/>
        <v>-0.4196782500000005</v>
      </c>
      <c r="C32" s="229">
        <f aca="true" t="shared" si="30" ref="C32:M32">C14-C$16</f>
        <v>-0.2834252500000002</v>
      </c>
      <c r="D32" s="229">
        <f t="shared" si="30"/>
        <v>4.859403500000003</v>
      </c>
      <c r="E32" s="229">
        <f t="shared" si="30"/>
        <v>-3.148374666666669</v>
      </c>
      <c r="F32" s="229">
        <f t="shared" si="30"/>
        <v>-0.06273108333333322</v>
      </c>
      <c r="G32" s="229">
        <f t="shared" si="30"/>
        <v>-3.9276213333333345</v>
      </c>
      <c r="H32" s="229">
        <f t="shared" si="30"/>
        <v>7.90047775</v>
      </c>
      <c r="I32" s="229">
        <f t="shared" si="30"/>
        <v>3.9236545833333327</v>
      </c>
      <c r="J32" s="229">
        <f t="shared" si="30"/>
        <v>-1.195710833333333</v>
      </c>
      <c r="K32" s="229">
        <f t="shared" si="30"/>
        <v>-0.46641099999999946</v>
      </c>
      <c r="L32" s="229">
        <f t="shared" si="30"/>
        <v>-0.5828740833333335</v>
      </c>
      <c r="M32" s="229">
        <f t="shared" si="30"/>
        <v>0.01422933333333333</v>
      </c>
    </row>
    <row r="33" spans="1:13" ht="12.75">
      <c r="A33" s="180" t="s">
        <v>15</v>
      </c>
      <c r="B33" s="230">
        <f>SUM(B21:B32)</f>
        <v>-4.884981308350689E-15</v>
      </c>
      <c r="C33" s="230">
        <f aca="true" t="shared" si="31" ref="C33:M33">SUM(C21:C32)</f>
        <v>-2.4424906541753444E-15</v>
      </c>
      <c r="D33" s="230">
        <f t="shared" si="31"/>
        <v>4.973799150320701E-14</v>
      </c>
      <c r="E33" s="230">
        <f t="shared" si="31"/>
        <v>-1.0658141036401503E-14</v>
      </c>
      <c r="F33" s="230">
        <f t="shared" si="31"/>
        <v>1.27675647831893E-15</v>
      </c>
      <c r="G33" s="230">
        <f t="shared" si="31"/>
        <v>-3.197442310920451E-14</v>
      </c>
      <c r="H33" s="230">
        <f t="shared" si="31"/>
        <v>0</v>
      </c>
      <c r="I33" s="230">
        <f t="shared" si="31"/>
        <v>0</v>
      </c>
      <c r="J33" s="230">
        <f t="shared" si="31"/>
        <v>5.773159728050814E-15</v>
      </c>
      <c r="K33" s="230">
        <f t="shared" si="31"/>
        <v>5.995204332975845E-15</v>
      </c>
      <c r="L33" s="230">
        <f t="shared" si="31"/>
        <v>-3.1086244689504383E-15</v>
      </c>
      <c r="M33" s="230">
        <f t="shared" si="31"/>
        <v>-9.71445146547012E-17</v>
      </c>
    </row>
    <row r="34" spans="1:13" ht="12.7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2.75">
      <c r="A35" s="231"/>
      <c r="B35" s="347" t="s">
        <v>38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1:13" ht="26.25">
      <c r="A36" s="180" t="s">
        <v>20</v>
      </c>
      <c r="B36" s="181" t="s">
        <v>7</v>
      </c>
      <c r="C36" s="181" t="s">
        <v>8</v>
      </c>
      <c r="D36" s="181" t="s">
        <v>9</v>
      </c>
      <c r="E36" s="181" t="s">
        <v>10</v>
      </c>
      <c r="F36" s="181" t="s">
        <v>11</v>
      </c>
      <c r="G36" s="182" t="s">
        <v>18</v>
      </c>
      <c r="H36" s="183" t="s">
        <v>177</v>
      </c>
      <c r="I36" s="182" t="s">
        <v>12</v>
      </c>
      <c r="J36" s="182" t="s">
        <v>23</v>
      </c>
      <c r="K36" s="182" t="s">
        <v>13</v>
      </c>
      <c r="L36" s="182" t="s">
        <v>16</v>
      </c>
      <c r="M36" s="182" t="s">
        <v>14</v>
      </c>
    </row>
    <row r="37" spans="1:13" ht="12.75">
      <c r="A37" s="228">
        <f>A21</f>
        <v>43009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4" ht="12.75">
      <c r="A38" s="228">
        <f aca="true" t="shared" si="32" ref="A38:A48">A22</f>
        <v>43040</v>
      </c>
      <c r="B38" s="229">
        <f>B4-B3</f>
        <v>-0.11534999999999984</v>
      </c>
      <c r="C38" s="229">
        <f aca="true" t="shared" si="33" ref="C38:M38">C4-C3</f>
        <v>0.1383970000000001</v>
      </c>
      <c r="D38" s="229">
        <f t="shared" si="33"/>
        <v>-8.149429999999999</v>
      </c>
      <c r="E38" s="229">
        <f t="shared" si="33"/>
        <v>-6.758766000000001</v>
      </c>
      <c r="F38" s="229">
        <f t="shared" si="33"/>
        <v>0.32920499999999997</v>
      </c>
      <c r="G38" s="229">
        <f t="shared" si="33"/>
        <v>-1.4845689999999987</v>
      </c>
      <c r="H38" s="229">
        <f t="shared" si="33"/>
        <v>-1.854277999999999</v>
      </c>
      <c r="I38" s="229">
        <f t="shared" si="33"/>
        <v>-2.7461079999999995</v>
      </c>
      <c r="J38" s="229">
        <f t="shared" si="33"/>
        <v>-0.9779810000000002</v>
      </c>
      <c r="K38" s="229">
        <f t="shared" si="33"/>
        <v>-4.415781000000001</v>
      </c>
      <c r="L38" s="229">
        <f t="shared" si="33"/>
        <v>-0.21069400000000016</v>
      </c>
      <c r="M38" s="229">
        <f t="shared" si="33"/>
        <v>0.008514</v>
      </c>
      <c r="N38" s="16"/>
    </row>
    <row r="39" spans="1:14" ht="12.75">
      <c r="A39" s="228">
        <f t="shared" si="32"/>
        <v>43070</v>
      </c>
      <c r="B39" s="229">
        <f aca="true" t="shared" si="34" ref="B39:M48">B5-B4</f>
        <v>0.6849760000000003</v>
      </c>
      <c r="C39" s="229">
        <f t="shared" si="34"/>
        <v>-0.16510800000000003</v>
      </c>
      <c r="D39" s="229">
        <f t="shared" si="34"/>
        <v>-7.876671000000002</v>
      </c>
      <c r="E39" s="229">
        <f t="shared" si="34"/>
        <v>-0.5042839999999984</v>
      </c>
      <c r="F39" s="229">
        <f t="shared" si="34"/>
        <v>-0.420092</v>
      </c>
      <c r="G39" s="229">
        <f t="shared" si="34"/>
        <v>1.3104199999999988</v>
      </c>
      <c r="H39" s="229">
        <f t="shared" si="34"/>
        <v>-0.9871930000000013</v>
      </c>
      <c r="I39" s="229">
        <f t="shared" si="34"/>
        <v>3.6358200000000007</v>
      </c>
      <c r="J39" s="229">
        <f t="shared" si="34"/>
        <v>0.41133</v>
      </c>
      <c r="K39" s="229">
        <f t="shared" si="34"/>
        <v>0.01832199999999995</v>
      </c>
      <c r="L39" s="229">
        <f t="shared" si="34"/>
        <v>0.2005189999999999</v>
      </c>
      <c r="M39" s="229">
        <f t="shared" si="34"/>
        <v>0.007314000000000001</v>
      </c>
      <c r="N39" s="16"/>
    </row>
    <row r="40" spans="1:14" ht="12.75">
      <c r="A40" s="228">
        <f t="shared" si="32"/>
        <v>43101</v>
      </c>
      <c r="B40" s="229">
        <f t="shared" si="34"/>
        <v>-0.5450570000000003</v>
      </c>
      <c r="C40" s="229">
        <f t="shared" si="34"/>
        <v>0.452955</v>
      </c>
      <c r="D40" s="229">
        <f t="shared" si="34"/>
        <v>4.156962</v>
      </c>
      <c r="E40" s="229">
        <f t="shared" si="34"/>
        <v>6.686543999999998</v>
      </c>
      <c r="F40" s="229">
        <f t="shared" si="34"/>
        <v>0.758356</v>
      </c>
      <c r="G40" s="229">
        <f t="shared" si="34"/>
        <v>0.2119250000000008</v>
      </c>
      <c r="H40" s="229">
        <f t="shared" si="34"/>
        <v>5.261054</v>
      </c>
      <c r="I40" s="229">
        <f t="shared" si="34"/>
        <v>0.09665399999999913</v>
      </c>
      <c r="J40" s="229">
        <f t="shared" si="34"/>
        <v>1.5771439999999997</v>
      </c>
      <c r="K40" s="229">
        <f t="shared" si="34"/>
        <v>-1.9454019999999999</v>
      </c>
      <c r="L40" s="229">
        <f t="shared" si="34"/>
        <v>-0.6494039999999996</v>
      </c>
      <c r="M40" s="229">
        <f t="shared" si="34"/>
        <v>0.028980999999999993</v>
      </c>
      <c r="N40" s="16"/>
    </row>
    <row r="41" spans="1:14" ht="12.75">
      <c r="A41" s="228">
        <f t="shared" si="32"/>
        <v>43132</v>
      </c>
      <c r="B41" s="229">
        <f t="shared" si="34"/>
        <v>-0.41097099999999975</v>
      </c>
      <c r="C41" s="229">
        <f t="shared" si="34"/>
        <v>-0.6749590000000001</v>
      </c>
      <c r="D41" s="229">
        <f t="shared" si="34"/>
        <v>-1.1350899999999982</v>
      </c>
      <c r="E41" s="229">
        <f t="shared" si="34"/>
        <v>0.024860000000000326</v>
      </c>
      <c r="F41" s="229">
        <f t="shared" si="34"/>
        <v>-0.48373</v>
      </c>
      <c r="G41" s="229">
        <f t="shared" si="34"/>
        <v>-0.5093449999999997</v>
      </c>
      <c r="H41" s="229">
        <f t="shared" si="34"/>
        <v>4.399234</v>
      </c>
      <c r="I41" s="229">
        <f t="shared" si="34"/>
        <v>-4.83502</v>
      </c>
      <c r="J41" s="229">
        <f t="shared" si="34"/>
        <v>6.759689</v>
      </c>
      <c r="K41" s="229">
        <f t="shared" si="34"/>
        <v>-0.26807099999999995</v>
      </c>
      <c r="L41" s="229">
        <f t="shared" si="34"/>
        <v>1.199827</v>
      </c>
      <c r="M41" s="229">
        <f t="shared" si="34"/>
        <v>-0.025857999999999992</v>
      </c>
      <c r="N41" s="16"/>
    </row>
    <row r="42" spans="1:14" ht="12.75">
      <c r="A42" s="228">
        <f t="shared" si="32"/>
        <v>43160</v>
      </c>
      <c r="B42" s="229">
        <f t="shared" si="34"/>
        <v>0.628782</v>
      </c>
      <c r="C42" s="229">
        <f t="shared" si="34"/>
        <v>-0.0007709999999999662</v>
      </c>
      <c r="D42" s="229">
        <f t="shared" si="34"/>
        <v>4.202259999999999</v>
      </c>
      <c r="E42" s="229">
        <f t="shared" si="34"/>
        <v>0.8991390000000017</v>
      </c>
      <c r="F42" s="229">
        <f t="shared" si="34"/>
        <v>-0.20558700000000002</v>
      </c>
      <c r="G42" s="229">
        <f t="shared" si="34"/>
        <v>4.284655000000001</v>
      </c>
      <c r="H42" s="229">
        <f t="shared" si="34"/>
        <v>-9.750457999999998</v>
      </c>
      <c r="I42" s="229">
        <f t="shared" si="34"/>
        <v>18.551571000000003</v>
      </c>
      <c r="J42" s="229">
        <f t="shared" si="34"/>
        <v>-7.440766999999999</v>
      </c>
      <c r="K42" s="229">
        <f t="shared" si="34"/>
        <v>0.2028669999999999</v>
      </c>
      <c r="L42" s="229">
        <f t="shared" si="34"/>
        <v>-0.19810900000000053</v>
      </c>
      <c r="M42" s="229">
        <f t="shared" si="34"/>
        <v>0.023496000000000003</v>
      </c>
      <c r="N42" s="16"/>
    </row>
    <row r="43" spans="1:14" ht="12.75">
      <c r="A43" s="228">
        <f t="shared" si="32"/>
        <v>43191</v>
      </c>
      <c r="B43" s="229">
        <f t="shared" si="34"/>
        <v>0.08913199999999977</v>
      </c>
      <c r="C43" s="229">
        <f t="shared" si="34"/>
        <v>0.07614200000000004</v>
      </c>
      <c r="D43" s="229">
        <f t="shared" si="34"/>
        <v>-3.9261860000000013</v>
      </c>
      <c r="E43" s="229">
        <f t="shared" si="34"/>
        <v>2.2741869999999977</v>
      </c>
      <c r="F43" s="229">
        <f t="shared" si="34"/>
        <v>1.0222410000000002</v>
      </c>
      <c r="G43" s="229">
        <f t="shared" si="34"/>
        <v>-2.926321999999999</v>
      </c>
      <c r="H43" s="229">
        <f t="shared" si="34"/>
        <v>-0.6145110000000003</v>
      </c>
      <c r="I43" s="229">
        <f t="shared" si="34"/>
        <v>-18.822414000000002</v>
      </c>
      <c r="J43" s="229">
        <f t="shared" si="34"/>
        <v>-0.8937730000000004</v>
      </c>
      <c r="K43" s="229">
        <f t="shared" si="34"/>
        <v>0.704893</v>
      </c>
      <c r="L43" s="229">
        <f t="shared" si="34"/>
        <v>-0.34679199999999977</v>
      </c>
      <c r="M43" s="229">
        <f t="shared" si="34"/>
        <v>0.01229899999999999</v>
      </c>
      <c r="N43" s="16"/>
    </row>
    <row r="44" spans="1:14" ht="12.75">
      <c r="A44" s="228">
        <f t="shared" si="32"/>
        <v>43221</v>
      </c>
      <c r="B44" s="229">
        <f t="shared" si="34"/>
        <v>-0.5412619999999999</v>
      </c>
      <c r="C44" s="229">
        <f t="shared" si="34"/>
        <v>0.06525899999999996</v>
      </c>
      <c r="D44" s="229">
        <f t="shared" si="34"/>
        <v>3.3783080000000005</v>
      </c>
      <c r="E44" s="229">
        <f t="shared" si="34"/>
        <v>6.633580000000002</v>
      </c>
      <c r="F44" s="229">
        <f t="shared" si="34"/>
        <v>-0.930668</v>
      </c>
      <c r="G44" s="229">
        <f t="shared" si="34"/>
        <v>2.983006999999997</v>
      </c>
      <c r="H44" s="229">
        <f t="shared" si="34"/>
        <v>15.604928000000001</v>
      </c>
      <c r="I44" s="229">
        <f t="shared" si="34"/>
        <v>0.3834920000000004</v>
      </c>
      <c r="J44" s="229">
        <f t="shared" si="34"/>
        <v>-0.37715999999999994</v>
      </c>
      <c r="K44" s="229">
        <f t="shared" si="34"/>
        <v>0.3900899999999998</v>
      </c>
      <c r="L44" s="229">
        <f t="shared" si="34"/>
        <v>-0.9781569999999999</v>
      </c>
      <c r="M44" s="229">
        <f t="shared" si="34"/>
        <v>-0.022003999999999996</v>
      </c>
      <c r="N44" s="16"/>
    </row>
    <row r="45" spans="1:14" ht="12.75">
      <c r="A45" s="228">
        <f t="shared" si="32"/>
        <v>43252</v>
      </c>
      <c r="B45" s="229">
        <f t="shared" si="34"/>
        <v>-0.22635399999999994</v>
      </c>
      <c r="C45" s="229">
        <f t="shared" si="34"/>
        <v>-0.27883</v>
      </c>
      <c r="D45" s="229">
        <f t="shared" si="34"/>
        <v>-3.8642949999999985</v>
      </c>
      <c r="E45" s="229">
        <f t="shared" si="34"/>
        <v>-10.332816000000001</v>
      </c>
      <c r="F45" s="229">
        <f t="shared" si="34"/>
        <v>0.868209</v>
      </c>
      <c r="G45" s="229">
        <f t="shared" si="34"/>
        <v>7.336493000000001</v>
      </c>
      <c r="H45" s="229">
        <f t="shared" si="34"/>
        <v>5.641097999999996</v>
      </c>
      <c r="I45" s="229">
        <f t="shared" si="34"/>
        <v>4.606808999999998</v>
      </c>
      <c r="J45" s="229">
        <f t="shared" si="34"/>
        <v>0.7170169999999998</v>
      </c>
      <c r="K45" s="229">
        <f t="shared" si="34"/>
        <v>-0.9446099999999997</v>
      </c>
      <c r="L45" s="229">
        <f t="shared" si="34"/>
        <v>2.9723400000000004</v>
      </c>
      <c r="M45" s="229">
        <f t="shared" si="34"/>
        <v>-0.003824999999999995</v>
      </c>
      <c r="N45" s="16"/>
    </row>
    <row r="46" spans="1:14" ht="12.75">
      <c r="A46" s="228">
        <f t="shared" si="32"/>
        <v>43282</v>
      </c>
      <c r="B46" s="229">
        <f t="shared" si="34"/>
        <v>0.4792740000000002</v>
      </c>
      <c r="C46" s="229">
        <f t="shared" si="34"/>
        <v>0.19753500000000002</v>
      </c>
      <c r="D46" s="229">
        <f t="shared" si="34"/>
        <v>-2.2410549999999994</v>
      </c>
      <c r="E46" s="229">
        <f t="shared" si="34"/>
        <v>-0.9183979999999998</v>
      </c>
      <c r="F46" s="229">
        <f t="shared" si="34"/>
        <v>-1.0026650000000001</v>
      </c>
      <c r="G46" s="229">
        <f t="shared" si="34"/>
        <v>-4.0267230000000005</v>
      </c>
      <c r="H46" s="229">
        <f t="shared" si="34"/>
        <v>-3.182940999999996</v>
      </c>
      <c r="I46" s="229">
        <f t="shared" si="34"/>
        <v>-4.359741999999999</v>
      </c>
      <c r="J46" s="229">
        <f t="shared" si="34"/>
        <v>-0.18241299999999994</v>
      </c>
      <c r="K46" s="229">
        <f t="shared" si="34"/>
        <v>-0.008216000000000001</v>
      </c>
      <c r="L46" s="229">
        <f t="shared" si="34"/>
        <v>-2.037707</v>
      </c>
      <c r="M46" s="229">
        <f t="shared" si="34"/>
        <v>0.014174999999999993</v>
      </c>
      <c r="N46" s="16"/>
    </row>
    <row r="47" spans="1:14" ht="12.75">
      <c r="A47" s="228">
        <f t="shared" si="32"/>
        <v>43313</v>
      </c>
      <c r="B47" s="229">
        <f t="shared" si="34"/>
        <v>0.6644639999999997</v>
      </c>
      <c r="C47" s="229">
        <f t="shared" si="34"/>
        <v>0.07000099999999998</v>
      </c>
      <c r="D47" s="229">
        <f t="shared" si="34"/>
        <v>8.27872</v>
      </c>
      <c r="E47" s="229">
        <f t="shared" si="34"/>
        <v>7.4238849999999985</v>
      </c>
      <c r="F47" s="229">
        <f t="shared" si="34"/>
        <v>0.36858099999999994</v>
      </c>
      <c r="G47" s="229">
        <f t="shared" si="34"/>
        <v>11.698173</v>
      </c>
      <c r="H47" s="229">
        <f t="shared" si="34"/>
        <v>-6.2601900000000015</v>
      </c>
      <c r="I47" s="229">
        <f t="shared" si="34"/>
        <v>13.193432000000001</v>
      </c>
      <c r="J47" s="229">
        <f t="shared" si="34"/>
        <v>0.54392</v>
      </c>
      <c r="K47" s="229">
        <f t="shared" si="34"/>
        <v>0.13163999999999976</v>
      </c>
      <c r="L47" s="229">
        <f t="shared" si="34"/>
        <v>0.23687199999999997</v>
      </c>
      <c r="M47" s="229">
        <f t="shared" si="34"/>
        <v>0.04268899999999999</v>
      </c>
      <c r="N47" s="16"/>
    </row>
    <row r="48" spans="1:14" ht="12.75">
      <c r="A48" s="228">
        <f t="shared" si="32"/>
        <v>43344</v>
      </c>
      <c r="B48" s="229">
        <f t="shared" si="34"/>
        <v>-1.095348</v>
      </c>
      <c r="C48" s="229">
        <f t="shared" si="34"/>
        <v>-0.27502799999999994</v>
      </c>
      <c r="D48" s="229">
        <f t="shared" si="34"/>
        <v>1.9526729999999972</v>
      </c>
      <c r="E48" s="229">
        <f t="shared" si="34"/>
        <v>-8.914441</v>
      </c>
      <c r="F48" s="229">
        <f t="shared" si="34"/>
        <v>-0.07093399999999994</v>
      </c>
      <c r="G48" s="229">
        <f t="shared" si="34"/>
        <v>-19.185971</v>
      </c>
      <c r="H48" s="229">
        <f t="shared" si="34"/>
        <v>4.961704000000001</v>
      </c>
      <c r="I48" s="229">
        <f t="shared" si="34"/>
        <v>-4.586408000000002</v>
      </c>
      <c r="J48" s="229">
        <f t="shared" si="34"/>
        <v>-0.9354930000000001</v>
      </c>
      <c r="K48" s="229">
        <f t="shared" si="34"/>
        <v>0.3664360000000002</v>
      </c>
      <c r="L48" s="229">
        <f t="shared" si="34"/>
        <v>-0.72051</v>
      </c>
      <c r="M48" s="229">
        <f t="shared" si="34"/>
        <v>-0.036091999999999985</v>
      </c>
      <c r="N48" s="16"/>
    </row>
    <row r="49" spans="1:14" ht="12.75">
      <c r="A49" s="12" t="s">
        <v>15</v>
      </c>
      <c r="B49" s="13">
        <f>SUM(B37:B48)</f>
        <v>-0.3877139999999999</v>
      </c>
      <c r="H49" s="15"/>
      <c r="I49" s="15"/>
      <c r="J49" s="15"/>
      <c r="L49" s="17"/>
      <c r="M49" s="16"/>
      <c r="N49" s="16"/>
    </row>
    <row r="50" spans="8:14" ht="12.75">
      <c r="H50" s="15"/>
      <c r="I50" s="15"/>
      <c r="J50" s="15"/>
      <c r="L50" s="17"/>
      <c r="M50" s="16"/>
      <c r="N50" s="16"/>
    </row>
    <row r="51" spans="8:12" ht="12.75">
      <c r="H51" s="15"/>
      <c r="I51" s="15"/>
      <c r="J51" s="15"/>
      <c r="L51" s="17"/>
    </row>
    <row r="52" spans="8:10" ht="12.75">
      <c r="H52" s="15"/>
      <c r="I52" s="15"/>
      <c r="J52" s="15"/>
    </row>
    <row r="53" spans="1:16" ht="12.75">
      <c r="A53" s="20" t="s">
        <v>40</v>
      </c>
      <c r="P53" s="38" t="s">
        <v>157</v>
      </c>
    </row>
    <row r="54" spans="1:29" ht="26.25">
      <c r="A54" s="1" t="s">
        <v>30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18</v>
      </c>
      <c r="H54" s="2" t="s">
        <v>177</v>
      </c>
      <c r="I54" s="4" t="s">
        <v>12</v>
      </c>
      <c r="J54" s="4" t="s">
        <v>23</v>
      </c>
      <c r="K54" s="4" t="s">
        <v>13</v>
      </c>
      <c r="L54" s="4" t="s">
        <v>16</v>
      </c>
      <c r="M54" s="4" t="s">
        <v>14</v>
      </c>
      <c r="N54" s="4" t="s">
        <v>15</v>
      </c>
      <c r="P54" s="1" t="s">
        <v>41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18</v>
      </c>
      <c r="W54" s="2" t="s">
        <v>177</v>
      </c>
      <c r="X54" s="4" t="s">
        <v>12</v>
      </c>
      <c r="Y54" s="4" t="s">
        <v>23</v>
      </c>
      <c r="Z54" s="4" t="s">
        <v>13</v>
      </c>
      <c r="AA54" s="4" t="s">
        <v>16</v>
      </c>
      <c r="AB54" s="4" t="s">
        <v>14</v>
      </c>
      <c r="AC54" s="143" t="s">
        <v>15</v>
      </c>
    </row>
    <row r="55" spans="1:29" ht="12.75">
      <c r="A55" s="143" t="str">
        <f>P55</f>
        <v>2017-10</v>
      </c>
      <c r="B55" s="142">
        <f>Q55/1024</f>
        <v>150.54954872422957</v>
      </c>
      <c r="C55" s="142">
        <f aca="true" t="shared" si="35" ref="C55:C66">R55/1024</f>
        <v>276.3664194501494</v>
      </c>
      <c r="D55" s="142">
        <f aca="true" t="shared" si="36" ref="D55:D66">S55/1024</f>
        <v>21.302343726950294</v>
      </c>
      <c r="E55" s="142">
        <f aca="true" t="shared" si="37" ref="E55:E66">T55/1024</f>
        <v>340.40155442330763</v>
      </c>
      <c r="F55" s="142">
        <f aca="true" t="shared" si="38" ref="F55:F66">U55/1024</f>
        <v>1.4548027133541797</v>
      </c>
      <c r="G55" s="142">
        <f aca="true" t="shared" si="39" ref="G55:G66">V55/1024</f>
        <v>638.0522989891333</v>
      </c>
      <c r="H55" s="142">
        <f aca="true" t="shared" si="40" ref="H55:H66">W55/1024</f>
        <v>168.77421944807324</v>
      </c>
      <c r="I55" s="142">
        <f aca="true" t="shared" si="41" ref="I55:I66">X55/1024</f>
        <v>37.97558678819579</v>
      </c>
      <c r="J55" s="142">
        <f aca="true" t="shared" si="42" ref="J55:J66">Y55/1024</f>
        <v>91.06445558048007</v>
      </c>
      <c r="K55" s="142">
        <f aca="true" t="shared" si="43" ref="K55:K66">Z55/1024</f>
        <v>25.235533345274902</v>
      </c>
      <c r="L55" s="142">
        <f aca="true" t="shared" si="44" ref="L55:L66">AA55/1024</f>
        <v>41.06649348789414</v>
      </c>
      <c r="M55" s="142">
        <f aca="true" t="shared" si="45" ref="M55:M66">AB55/1024</f>
        <v>0.5315226856437216</v>
      </c>
      <c r="N55" s="142">
        <f aca="true" t="shared" si="46" ref="N55:N67">SUM(B55:M55)</f>
        <v>1792.7747793626863</v>
      </c>
      <c r="P55" s="143" t="str">
        <f>P3</f>
        <v>2017-10</v>
      </c>
      <c r="Q55" s="141">
        <v>154162.73789361108</v>
      </c>
      <c r="R55" s="141">
        <v>282999.213516953</v>
      </c>
      <c r="S55" s="141">
        <v>21813.5999763971</v>
      </c>
      <c r="T55" s="141">
        <v>348571.191729467</v>
      </c>
      <c r="U55" s="141">
        <v>1489.71797847468</v>
      </c>
      <c r="V55" s="141">
        <v>653365.5541648725</v>
      </c>
      <c r="W55" s="141">
        <v>172824.800714827</v>
      </c>
      <c r="X55" s="141">
        <v>38887.00087111249</v>
      </c>
      <c r="Y55" s="141">
        <v>93250.0025144116</v>
      </c>
      <c r="Z55" s="141">
        <v>25841.1861455615</v>
      </c>
      <c r="AA55" s="141">
        <v>42052.0893316036</v>
      </c>
      <c r="AB55" s="141">
        <v>544.279230099171</v>
      </c>
      <c r="AC55" s="177">
        <f aca="true" t="shared" si="47" ref="AC55:AC66">SUM(Q55:AB55)</f>
        <v>1835801.3740673908</v>
      </c>
    </row>
    <row r="56" spans="1:29" ht="12.75">
      <c r="A56" s="143" t="str">
        <f aca="true" t="shared" si="48" ref="A56:A66">P56</f>
        <v>2017-11</v>
      </c>
      <c r="B56" s="142">
        <f aca="true" t="shared" si="49" ref="B56:B66">Q56/1024</f>
        <v>192.26286822248517</v>
      </c>
      <c r="C56" s="142">
        <f t="shared" si="35"/>
        <v>339.1241482083379</v>
      </c>
      <c r="D56" s="142">
        <f t="shared" si="36"/>
        <v>22.30070018896367</v>
      </c>
      <c r="E56" s="142">
        <f t="shared" si="37"/>
        <v>366.8675409655469</v>
      </c>
      <c r="F56" s="142">
        <f t="shared" si="38"/>
        <v>1.1297047162825</v>
      </c>
      <c r="G56" s="142">
        <f t="shared" si="39"/>
        <v>229.86664130309185</v>
      </c>
      <c r="H56" s="142">
        <f t="shared" si="40"/>
        <v>176.68606335915138</v>
      </c>
      <c r="I56" s="142">
        <f t="shared" si="41"/>
        <v>33.35070984068351</v>
      </c>
      <c r="J56" s="142">
        <f t="shared" si="42"/>
        <v>80.86106732571533</v>
      </c>
      <c r="K56" s="142">
        <f t="shared" si="43"/>
        <v>21.624215954396874</v>
      </c>
      <c r="L56" s="142">
        <f t="shared" si="44"/>
        <v>50.56796973739795</v>
      </c>
      <c r="M56" s="142">
        <f t="shared" si="45"/>
        <v>0.7423378792846045</v>
      </c>
      <c r="N56" s="142">
        <f t="shared" si="46"/>
        <v>1515.3839677013377</v>
      </c>
      <c r="P56" s="143" t="str">
        <f aca="true" t="shared" si="50" ref="P56:P66">P4</f>
        <v>2017-11</v>
      </c>
      <c r="Q56" s="141">
        <v>196877.1770598248</v>
      </c>
      <c r="R56" s="141">
        <v>347263.127765338</v>
      </c>
      <c r="S56" s="141">
        <v>22835.9169934988</v>
      </c>
      <c r="T56" s="141">
        <v>375672.36194872</v>
      </c>
      <c r="U56" s="141">
        <v>1156.81762947328</v>
      </c>
      <c r="V56" s="141">
        <v>235383.44069436606</v>
      </c>
      <c r="W56" s="141">
        <v>180926.528879771</v>
      </c>
      <c r="X56" s="141">
        <v>34151.12687685991</v>
      </c>
      <c r="Y56" s="141">
        <v>82801.7329415325</v>
      </c>
      <c r="Z56" s="141">
        <v>22143.1971373024</v>
      </c>
      <c r="AA56" s="141">
        <v>51781.6010110955</v>
      </c>
      <c r="AB56" s="141">
        <v>760.153988387435</v>
      </c>
      <c r="AC56" s="177">
        <f t="shared" si="47"/>
        <v>1551753.1829261698</v>
      </c>
    </row>
    <row r="57" spans="1:29" ht="12.75">
      <c r="A57" s="143" t="str">
        <f t="shared" si="48"/>
        <v>2017-12</v>
      </c>
      <c r="B57" s="142">
        <f t="shared" si="49"/>
        <v>218.61001460456123</v>
      </c>
      <c r="C57" s="142">
        <f t="shared" si="35"/>
        <v>876.2606278873594</v>
      </c>
      <c r="D57" s="142">
        <f t="shared" si="36"/>
        <v>14.083487401308007</v>
      </c>
      <c r="E57" s="142">
        <f t="shared" si="37"/>
        <v>362.41398011578514</v>
      </c>
      <c r="F57" s="142">
        <f t="shared" si="38"/>
        <v>0.7795722647606446</v>
      </c>
      <c r="G57" s="142">
        <f t="shared" si="39"/>
        <v>235.81435268931264</v>
      </c>
      <c r="H57" s="142">
        <f t="shared" si="40"/>
        <v>121.4169607935625</v>
      </c>
      <c r="I57" s="142">
        <f t="shared" si="41"/>
        <v>44.183145890920926</v>
      </c>
      <c r="J57" s="142">
        <f t="shared" si="42"/>
        <v>125.48375908129883</v>
      </c>
      <c r="K57" s="142">
        <f t="shared" si="43"/>
        <v>20.072555167791503</v>
      </c>
      <c r="L57" s="142">
        <f t="shared" si="44"/>
        <v>45.495405914396486</v>
      </c>
      <c r="M57" s="142">
        <f t="shared" si="45"/>
        <v>0.4741819782630039</v>
      </c>
      <c r="N57" s="142">
        <f t="shared" si="46"/>
        <v>2065.08804378932</v>
      </c>
      <c r="P57" s="143" t="str">
        <f t="shared" si="50"/>
        <v>2017-12</v>
      </c>
      <c r="Q57" s="141">
        <v>223856.6549550707</v>
      </c>
      <c r="R57" s="141">
        <v>897290.882956656</v>
      </c>
      <c r="S57" s="141">
        <v>14421.4910989394</v>
      </c>
      <c r="T57" s="141">
        <v>371111.915638564</v>
      </c>
      <c r="U57" s="141">
        <v>798.2819991149</v>
      </c>
      <c r="V57" s="141">
        <v>241473.89715385615</v>
      </c>
      <c r="W57" s="141">
        <v>124330.967852608</v>
      </c>
      <c r="X57" s="141">
        <v>45243.54139230303</v>
      </c>
      <c r="Y57" s="141">
        <v>128495.36929925</v>
      </c>
      <c r="Z57" s="141">
        <v>20554.2964918185</v>
      </c>
      <c r="AA57" s="141">
        <v>46587.295656342</v>
      </c>
      <c r="AB57" s="141">
        <v>485.562345741316</v>
      </c>
      <c r="AC57" s="177">
        <f t="shared" si="47"/>
        <v>2114650.156840264</v>
      </c>
    </row>
    <row r="58" spans="1:29" ht="12.75">
      <c r="A58" s="143" t="str">
        <f t="shared" si="48"/>
        <v>2018-01</v>
      </c>
      <c r="B58" s="142">
        <f t="shared" si="49"/>
        <v>172.5048112720205</v>
      </c>
      <c r="C58" s="142">
        <f t="shared" si="35"/>
        <v>478.2096124370625</v>
      </c>
      <c r="D58" s="142">
        <f t="shared" si="36"/>
        <v>15.511271290377344</v>
      </c>
      <c r="E58" s="142">
        <f t="shared" si="37"/>
        <v>391.04201788750584</v>
      </c>
      <c r="F58" s="142">
        <f t="shared" si="38"/>
        <v>2.651598217217715</v>
      </c>
      <c r="G58" s="142">
        <f t="shared" si="39"/>
        <v>259.69908570924014</v>
      </c>
      <c r="H58" s="142">
        <f t="shared" si="40"/>
        <v>192.50956037857813</v>
      </c>
      <c r="I58" s="142">
        <f t="shared" si="41"/>
        <v>53.737346744547615</v>
      </c>
      <c r="J58" s="142">
        <f t="shared" si="42"/>
        <v>184.62871548871192</v>
      </c>
      <c r="K58" s="142">
        <f t="shared" si="43"/>
        <v>24.867914915089745</v>
      </c>
      <c r="L58" s="142">
        <f t="shared" si="44"/>
        <v>44.3691445315125</v>
      </c>
      <c r="M58" s="142">
        <f t="shared" si="45"/>
        <v>0.8673552063137314</v>
      </c>
      <c r="N58" s="142">
        <f t="shared" si="46"/>
        <v>1820.598434078178</v>
      </c>
      <c r="P58" s="143" t="str">
        <f t="shared" si="50"/>
        <v>2018-01</v>
      </c>
      <c r="Q58" s="141">
        <v>176644.926742549</v>
      </c>
      <c r="R58" s="141">
        <v>489686.643135552</v>
      </c>
      <c r="S58" s="141">
        <v>15883.5418013464</v>
      </c>
      <c r="T58" s="141">
        <v>400427.026316806</v>
      </c>
      <c r="U58" s="141">
        <v>2715.23657443094</v>
      </c>
      <c r="V58" s="141">
        <v>265931.8637662619</v>
      </c>
      <c r="W58" s="141">
        <v>197129.789827664</v>
      </c>
      <c r="X58" s="141">
        <v>55027.04306641676</v>
      </c>
      <c r="Y58" s="141">
        <v>189059.804660441</v>
      </c>
      <c r="Z58" s="141">
        <v>25464.7448730519</v>
      </c>
      <c r="AA58" s="141">
        <v>45434.0040002688</v>
      </c>
      <c r="AB58" s="141">
        <v>888.171731265261</v>
      </c>
      <c r="AC58" s="177">
        <f t="shared" si="47"/>
        <v>1864292.7964960542</v>
      </c>
    </row>
    <row r="59" spans="1:29" ht="12.75">
      <c r="A59" s="143" t="str">
        <f t="shared" si="48"/>
        <v>2018-02</v>
      </c>
      <c r="B59" s="142">
        <f t="shared" si="49"/>
        <v>158.77231476814893</v>
      </c>
      <c r="C59" s="142">
        <f t="shared" si="35"/>
        <v>474.05888491238477</v>
      </c>
      <c r="D59" s="142">
        <f t="shared" si="36"/>
        <v>18.00289448329287</v>
      </c>
      <c r="E59" s="142">
        <f t="shared" si="37"/>
        <v>321.6072040737051</v>
      </c>
      <c r="F59" s="142">
        <f t="shared" si="38"/>
        <v>0.8662310222443916</v>
      </c>
      <c r="G59" s="142">
        <f t="shared" si="39"/>
        <v>328.1141966799867</v>
      </c>
      <c r="H59" s="142">
        <f t="shared" si="40"/>
        <v>265.5567840437461</v>
      </c>
      <c r="I59" s="142">
        <f t="shared" si="41"/>
        <v>37.561723030206785</v>
      </c>
      <c r="J59" s="142">
        <f t="shared" si="42"/>
        <v>137.73820107641407</v>
      </c>
      <c r="K59" s="142">
        <f t="shared" si="43"/>
        <v>34.59086333875039</v>
      </c>
      <c r="L59" s="142">
        <f t="shared" si="44"/>
        <v>39.62044852286084</v>
      </c>
      <c r="M59" s="142">
        <f t="shared" si="45"/>
        <v>0.7456590890114961</v>
      </c>
      <c r="N59" s="142">
        <f t="shared" si="46"/>
        <v>1817.2354050407523</v>
      </c>
      <c r="P59" s="143" t="str">
        <f t="shared" si="50"/>
        <v>2018-02</v>
      </c>
      <c r="Q59" s="141">
        <v>162582.8503225845</v>
      </c>
      <c r="R59" s="141">
        <v>485436.298150282</v>
      </c>
      <c r="S59" s="141">
        <v>18434.9639508919</v>
      </c>
      <c r="T59" s="141">
        <v>329325.776971474</v>
      </c>
      <c r="U59" s="141">
        <v>887.020566778257</v>
      </c>
      <c r="V59" s="141">
        <v>335988.9374003064</v>
      </c>
      <c r="W59" s="141">
        <v>271930.146860796</v>
      </c>
      <c r="X59" s="141">
        <v>38463.20438293175</v>
      </c>
      <c r="Y59" s="141">
        <v>141043.917902248</v>
      </c>
      <c r="Z59" s="141">
        <v>35421.0440588804</v>
      </c>
      <c r="AA59" s="141">
        <v>40571.3392874095</v>
      </c>
      <c r="AB59" s="141">
        <v>763.554907147772</v>
      </c>
      <c r="AC59" s="177">
        <f t="shared" si="47"/>
        <v>1860849.0547617304</v>
      </c>
    </row>
    <row r="60" spans="1:29" ht="12.75">
      <c r="A60" s="143" t="str">
        <f t="shared" si="48"/>
        <v>2018-03</v>
      </c>
      <c r="B60" s="142">
        <f t="shared" si="49"/>
        <v>204.5279825085006</v>
      </c>
      <c r="C60" s="142">
        <f t="shared" si="35"/>
        <v>239.79092447294823</v>
      </c>
      <c r="D60" s="142">
        <f t="shared" si="36"/>
        <v>19.041033904815723</v>
      </c>
      <c r="E60" s="142">
        <f t="shared" si="37"/>
        <v>452.3284506166504</v>
      </c>
      <c r="F60" s="142">
        <f t="shared" si="38"/>
        <v>0.41305614725661133</v>
      </c>
      <c r="G60" s="142">
        <f t="shared" si="39"/>
        <v>329.53990329754606</v>
      </c>
      <c r="H60" s="142">
        <f t="shared" si="40"/>
        <v>101.41509544047558</v>
      </c>
      <c r="I60" s="142">
        <f t="shared" si="41"/>
        <v>52.79696664418858</v>
      </c>
      <c r="J60" s="142">
        <f t="shared" si="42"/>
        <v>109.15710190356934</v>
      </c>
      <c r="K60" s="142">
        <f t="shared" si="43"/>
        <v>29.380843863673732</v>
      </c>
      <c r="L60" s="142">
        <f t="shared" si="44"/>
        <v>56.46576508483301</v>
      </c>
      <c r="M60" s="142">
        <f t="shared" si="45"/>
        <v>0.6862313585543233</v>
      </c>
      <c r="N60" s="142">
        <f t="shared" si="46"/>
        <v>1595.5433552430125</v>
      </c>
      <c r="P60" s="143" t="str">
        <f t="shared" si="50"/>
        <v>2018-03</v>
      </c>
      <c r="Q60" s="141">
        <v>209436.6540887046</v>
      </c>
      <c r="R60" s="141">
        <v>245545.906660299</v>
      </c>
      <c r="S60" s="141">
        <v>19498.0187185313</v>
      </c>
      <c r="T60" s="141">
        <v>463184.33343145</v>
      </c>
      <c r="U60" s="141">
        <v>422.96949479077</v>
      </c>
      <c r="V60" s="141">
        <v>337448.86097668717</v>
      </c>
      <c r="W60" s="141">
        <v>103849.057731047</v>
      </c>
      <c r="X60" s="141">
        <v>54064.093843649105</v>
      </c>
      <c r="Y60" s="141">
        <v>111776.872349255</v>
      </c>
      <c r="Z60" s="141">
        <v>30085.9841164019</v>
      </c>
      <c r="AA60" s="141">
        <v>57820.943446869</v>
      </c>
      <c r="AB60" s="141">
        <v>702.700911159627</v>
      </c>
      <c r="AC60" s="177">
        <f t="shared" si="47"/>
        <v>1633836.3957688448</v>
      </c>
    </row>
    <row r="61" spans="1:29" ht="12.75">
      <c r="A61" s="143" t="str">
        <f t="shared" si="48"/>
        <v>2018-04</v>
      </c>
      <c r="B61" s="142">
        <f t="shared" si="49"/>
        <v>242.41691561767522</v>
      </c>
      <c r="C61" s="142">
        <f t="shared" si="35"/>
        <v>309.20076409311815</v>
      </c>
      <c r="D61" s="142">
        <f t="shared" si="36"/>
        <v>16.23563297329746</v>
      </c>
      <c r="E61" s="142">
        <f t="shared" si="37"/>
        <v>475.1028591992832</v>
      </c>
      <c r="F61" s="142">
        <f t="shared" si="38"/>
        <v>1.424054795967998</v>
      </c>
      <c r="G61" s="142">
        <f t="shared" si="39"/>
        <v>282.1005662632264</v>
      </c>
      <c r="H61" s="142">
        <f t="shared" si="40"/>
        <v>64.97176352992754</v>
      </c>
      <c r="I61" s="142">
        <f t="shared" si="41"/>
        <v>33.89837249640543</v>
      </c>
      <c r="J61" s="142">
        <f t="shared" si="42"/>
        <v>102.99052742363183</v>
      </c>
      <c r="K61" s="142">
        <f t="shared" si="43"/>
        <v>23.07667816810293</v>
      </c>
      <c r="L61" s="142">
        <f t="shared" si="44"/>
        <v>62.869070901562694</v>
      </c>
      <c r="M61" s="142">
        <f t="shared" si="45"/>
        <v>0.8907333400984492</v>
      </c>
      <c r="N61" s="142">
        <f t="shared" si="46"/>
        <v>1615.1779388022976</v>
      </c>
      <c r="P61" s="143" t="str">
        <f t="shared" si="50"/>
        <v>2018-04</v>
      </c>
      <c r="Q61" s="141">
        <v>248234.92159249942</v>
      </c>
      <c r="R61" s="141">
        <v>316621.582431353</v>
      </c>
      <c r="S61" s="141">
        <v>16625.2881646566</v>
      </c>
      <c r="T61" s="141">
        <v>486505.327820066</v>
      </c>
      <c r="U61" s="141">
        <v>1458.23211107123</v>
      </c>
      <c r="V61" s="141">
        <v>288870.97985354386</v>
      </c>
      <c r="W61" s="141">
        <v>66531.0858546458</v>
      </c>
      <c r="X61" s="141">
        <v>34711.93343631916</v>
      </c>
      <c r="Y61" s="141">
        <v>105462.300081799</v>
      </c>
      <c r="Z61" s="141">
        <v>23630.5184441374</v>
      </c>
      <c r="AA61" s="141">
        <v>64377.9286032002</v>
      </c>
      <c r="AB61" s="141">
        <v>912.110940260812</v>
      </c>
      <c r="AC61" s="177">
        <f t="shared" si="47"/>
        <v>1653942.2093335527</v>
      </c>
    </row>
    <row r="62" spans="1:29" ht="12.75">
      <c r="A62" s="143" t="str">
        <f t="shared" si="48"/>
        <v>2018-05</v>
      </c>
      <c r="B62" s="142">
        <f t="shared" si="49"/>
        <v>136.5018558999235</v>
      </c>
      <c r="C62" s="142">
        <f t="shared" si="35"/>
        <v>315.87894012733005</v>
      </c>
      <c r="D62" s="142">
        <f t="shared" si="36"/>
        <v>16.716118955837306</v>
      </c>
      <c r="E62" s="142">
        <f t="shared" si="37"/>
        <v>578.5641692425118</v>
      </c>
      <c r="F62" s="142">
        <f t="shared" si="38"/>
        <v>0.5123535005222939</v>
      </c>
      <c r="G62" s="142">
        <f t="shared" si="39"/>
        <v>367.8757980427606</v>
      </c>
      <c r="H62" s="142">
        <f t="shared" si="40"/>
        <v>518.7206065151543</v>
      </c>
      <c r="I62" s="142">
        <f t="shared" si="41"/>
        <v>35.28858485240106</v>
      </c>
      <c r="J62" s="142">
        <f t="shared" si="42"/>
        <v>91.88967756274629</v>
      </c>
      <c r="K62" s="142">
        <f t="shared" si="43"/>
        <v>23.158537813824122</v>
      </c>
      <c r="L62" s="142">
        <f t="shared" si="44"/>
        <v>48.492868849376364</v>
      </c>
      <c r="M62" s="142">
        <f t="shared" si="45"/>
        <v>0.725032048304456</v>
      </c>
      <c r="N62" s="142">
        <f t="shared" si="46"/>
        <v>2134.3245434106925</v>
      </c>
      <c r="P62" s="143" t="str">
        <f t="shared" si="50"/>
        <v>2018-05</v>
      </c>
      <c r="Q62" s="141">
        <v>139777.90044152166</v>
      </c>
      <c r="R62" s="141">
        <v>323460.034690386</v>
      </c>
      <c r="S62" s="141">
        <v>17117.3058107774</v>
      </c>
      <c r="T62" s="141">
        <v>592449.709304332</v>
      </c>
      <c r="U62" s="141">
        <v>524.649984534829</v>
      </c>
      <c r="V62" s="141">
        <v>376704.81719578686</v>
      </c>
      <c r="W62" s="141">
        <v>531169.901071518</v>
      </c>
      <c r="X62" s="141">
        <v>36135.510888858684</v>
      </c>
      <c r="Y62" s="141">
        <v>94095.0298242522</v>
      </c>
      <c r="Z62" s="141">
        <v>23714.3427213559</v>
      </c>
      <c r="AA62" s="141">
        <v>49656.6977017614</v>
      </c>
      <c r="AB62" s="141">
        <v>742.432817463763</v>
      </c>
      <c r="AC62" s="177">
        <f t="shared" si="47"/>
        <v>2185548.332452549</v>
      </c>
    </row>
    <row r="63" spans="1:29" ht="12.75">
      <c r="A63" s="143" t="str">
        <f t="shared" si="48"/>
        <v>2018-06</v>
      </c>
      <c r="B63" s="142">
        <f t="shared" si="49"/>
        <v>183.32304708325523</v>
      </c>
      <c r="C63" s="142">
        <f t="shared" si="35"/>
        <v>209.19425557311035</v>
      </c>
      <c r="D63" s="142">
        <f t="shared" si="36"/>
        <v>14.404111429293067</v>
      </c>
      <c r="E63" s="142">
        <f t="shared" si="37"/>
        <v>457.8672184065127</v>
      </c>
      <c r="F63" s="142">
        <f t="shared" si="38"/>
        <v>0.474328518292168</v>
      </c>
      <c r="G63" s="142">
        <f t="shared" si="39"/>
        <v>421.3949978234347</v>
      </c>
      <c r="H63" s="142">
        <f t="shared" si="40"/>
        <v>695.4624474399883</v>
      </c>
      <c r="I63" s="142">
        <f t="shared" si="41"/>
        <v>57.126544783228276</v>
      </c>
      <c r="J63" s="142">
        <f t="shared" si="42"/>
        <v>71.42393667115898</v>
      </c>
      <c r="K63" s="142">
        <f t="shared" si="43"/>
        <v>37.52141018539629</v>
      </c>
      <c r="L63" s="142">
        <f t="shared" si="44"/>
        <v>42.79330762100918</v>
      </c>
      <c r="M63" s="142">
        <f t="shared" si="45"/>
        <v>0.6488505640390938</v>
      </c>
      <c r="N63" s="142">
        <f t="shared" si="46"/>
        <v>2191.6344560987186</v>
      </c>
      <c r="P63" s="143" t="str">
        <f t="shared" si="50"/>
        <v>2018-06</v>
      </c>
      <c r="Q63" s="141">
        <v>187722.80021325336</v>
      </c>
      <c r="R63" s="141">
        <v>214214.917706865</v>
      </c>
      <c r="S63" s="141">
        <v>14749.8101035961</v>
      </c>
      <c r="T63" s="141">
        <v>468856.031648269</v>
      </c>
      <c r="U63" s="141">
        <v>485.71240273118</v>
      </c>
      <c r="V63" s="141">
        <v>431508.47777119715</v>
      </c>
      <c r="W63" s="141">
        <v>712153.546178548</v>
      </c>
      <c r="X63" s="141">
        <v>58497.581858025755</v>
      </c>
      <c r="Y63" s="141">
        <v>73138.1111512668</v>
      </c>
      <c r="Z63" s="141">
        <v>38421.9240298458</v>
      </c>
      <c r="AA63" s="141">
        <v>43820.3470039134</v>
      </c>
      <c r="AB63" s="141">
        <v>664.422977576032</v>
      </c>
      <c r="AC63" s="177">
        <f t="shared" si="47"/>
        <v>2244233.683045088</v>
      </c>
    </row>
    <row r="64" spans="1:29" ht="12.75">
      <c r="A64" s="143" t="str">
        <f t="shared" si="48"/>
        <v>2018-07</v>
      </c>
      <c r="B64" s="142">
        <f t="shared" si="49"/>
        <v>146.66439046117813</v>
      </c>
      <c r="C64" s="142">
        <f t="shared" si="35"/>
        <v>528.919275913914</v>
      </c>
      <c r="D64" s="142">
        <f t="shared" si="36"/>
        <v>14.992842066773829</v>
      </c>
      <c r="E64" s="142">
        <f t="shared" si="37"/>
        <v>406.3632155911289</v>
      </c>
      <c r="F64" s="142">
        <f t="shared" si="38"/>
        <v>0.4471796603593242</v>
      </c>
      <c r="G64" s="142">
        <f t="shared" si="39"/>
        <v>611.7604337128968</v>
      </c>
      <c r="H64" s="142">
        <f t="shared" si="40"/>
        <v>543.5473253433232</v>
      </c>
      <c r="I64" s="142">
        <f t="shared" si="41"/>
        <v>54.9010075937203</v>
      </c>
      <c r="J64" s="142">
        <f t="shared" si="42"/>
        <v>79.10355605836494</v>
      </c>
      <c r="K64" s="142">
        <f t="shared" si="43"/>
        <v>40.18050716925146</v>
      </c>
      <c r="L64" s="142">
        <f t="shared" si="44"/>
        <v>49.661385984965726</v>
      </c>
      <c r="M64" s="142">
        <f t="shared" si="45"/>
        <v>0.8538030004883691</v>
      </c>
      <c r="N64" s="142">
        <f t="shared" si="46"/>
        <v>2477.3949225563656</v>
      </c>
      <c r="P64" s="143" t="str">
        <f t="shared" si="50"/>
        <v>2018-07</v>
      </c>
      <c r="Q64" s="141">
        <v>150184.3358322464</v>
      </c>
      <c r="R64" s="141">
        <v>541613.338535848</v>
      </c>
      <c r="S64" s="141">
        <v>15352.6702763764</v>
      </c>
      <c r="T64" s="141">
        <v>416115.932765316</v>
      </c>
      <c r="U64" s="141">
        <v>457.911972207948</v>
      </c>
      <c r="V64" s="141">
        <v>626442.6841220063</v>
      </c>
      <c r="W64" s="141">
        <v>556592.461151563</v>
      </c>
      <c r="X64" s="141">
        <v>56218.63177596959</v>
      </c>
      <c r="Y64" s="141">
        <v>81002.0414037657</v>
      </c>
      <c r="Z64" s="141">
        <v>41144.8393413135</v>
      </c>
      <c r="AA64" s="141">
        <v>50853.2592486049</v>
      </c>
      <c r="AB64" s="141">
        <v>874.29427250009</v>
      </c>
      <c r="AC64" s="177">
        <f t="shared" si="47"/>
        <v>2536852.4006977184</v>
      </c>
    </row>
    <row r="65" spans="1:29" ht="12.75">
      <c r="A65" s="143" t="str">
        <f t="shared" si="48"/>
        <v>2018-08</v>
      </c>
      <c r="B65" s="142">
        <f t="shared" si="49"/>
        <v>356.8237061102954</v>
      </c>
      <c r="C65" s="142">
        <f t="shared" si="35"/>
        <v>459.05473190312307</v>
      </c>
      <c r="D65" s="142">
        <f t="shared" si="36"/>
        <v>15.268089089115136</v>
      </c>
      <c r="E65" s="142">
        <f t="shared" si="37"/>
        <v>429.675122007626</v>
      </c>
      <c r="F65" s="142">
        <f t="shared" si="38"/>
        <v>1.1801274964855077</v>
      </c>
      <c r="G65" s="142">
        <f t="shared" si="39"/>
        <v>563.9527847452928</v>
      </c>
      <c r="H65" s="142">
        <f t="shared" si="40"/>
        <v>494.77797718794534</v>
      </c>
      <c r="I65" s="142">
        <f t="shared" si="41"/>
        <v>54.1811951034469</v>
      </c>
      <c r="J65" s="142">
        <f t="shared" si="42"/>
        <v>131.41002993265136</v>
      </c>
      <c r="K65" s="142">
        <f t="shared" si="43"/>
        <v>42.61757548821611</v>
      </c>
      <c r="L65" s="142">
        <f t="shared" si="44"/>
        <v>52.8566937953082</v>
      </c>
      <c r="M65" s="142">
        <f t="shared" si="45"/>
        <v>0.7173710994902647</v>
      </c>
      <c r="N65" s="142">
        <f t="shared" si="46"/>
        <v>2602.515403958996</v>
      </c>
      <c r="P65" s="143" t="str">
        <f t="shared" si="50"/>
        <v>2018-08</v>
      </c>
      <c r="Q65" s="141">
        <v>365387.4750569425</v>
      </c>
      <c r="R65" s="141">
        <v>470072.045468798</v>
      </c>
      <c r="S65" s="141">
        <v>15634.5232272539</v>
      </c>
      <c r="T65" s="141">
        <v>439987.324935809</v>
      </c>
      <c r="U65" s="141">
        <v>1208.45055640116</v>
      </c>
      <c r="V65" s="141">
        <v>577487.6515791798</v>
      </c>
      <c r="W65" s="141">
        <v>506652.648640456</v>
      </c>
      <c r="X65" s="141">
        <v>55481.54378592963</v>
      </c>
      <c r="Y65" s="141">
        <v>134563.870651035</v>
      </c>
      <c r="Z65" s="141">
        <v>43640.3972999333</v>
      </c>
      <c r="AA65" s="141">
        <v>54125.2544463956</v>
      </c>
      <c r="AB65" s="141">
        <v>734.588005878031</v>
      </c>
      <c r="AC65" s="177">
        <f t="shared" si="47"/>
        <v>2664975.773654012</v>
      </c>
    </row>
    <row r="66" spans="1:29" ht="12.75">
      <c r="A66" s="143" t="str">
        <f t="shared" si="48"/>
        <v>2018-09</v>
      </c>
      <c r="B66" s="142">
        <f t="shared" si="49"/>
        <v>150.10133550486054</v>
      </c>
      <c r="C66" s="142">
        <f t="shared" si="35"/>
        <v>259.1025201042764</v>
      </c>
      <c r="D66" s="142">
        <f t="shared" si="36"/>
        <v>16.296971741308788</v>
      </c>
      <c r="E66" s="142">
        <f t="shared" si="37"/>
        <v>451.82552979570505</v>
      </c>
      <c r="F66" s="142">
        <f t="shared" si="38"/>
        <v>1.2589536104269337</v>
      </c>
      <c r="G66" s="142">
        <f t="shared" si="39"/>
        <v>323.80729042881694</v>
      </c>
      <c r="H66" s="142">
        <f t="shared" si="40"/>
        <v>463.63267090482617</v>
      </c>
      <c r="I66" s="142">
        <f t="shared" si="41"/>
        <v>47.399213870374275</v>
      </c>
      <c r="J66" s="142">
        <f t="shared" si="42"/>
        <v>71.48876121700957</v>
      </c>
      <c r="K66" s="142">
        <f t="shared" si="43"/>
        <v>47.668723268918356</v>
      </c>
      <c r="L66" s="142">
        <f t="shared" si="44"/>
        <v>40.97022889605703</v>
      </c>
      <c r="M66" s="142">
        <f t="shared" si="45"/>
        <v>0.6575567608597334</v>
      </c>
      <c r="N66" s="142">
        <f t="shared" si="46"/>
        <v>1874.2097561034398</v>
      </c>
      <c r="P66" s="143" t="str">
        <f t="shared" si="50"/>
        <v>2018-09</v>
      </c>
      <c r="Q66" s="141">
        <v>153703.7675569772</v>
      </c>
      <c r="R66" s="141">
        <v>265320.980586779</v>
      </c>
      <c r="S66" s="141">
        <v>16688.0990631002</v>
      </c>
      <c r="T66" s="141">
        <v>462669.342510802</v>
      </c>
      <c r="U66" s="141">
        <v>1289.16849707718</v>
      </c>
      <c r="V66" s="141">
        <v>331578.66539910855</v>
      </c>
      <c r="W66" s="141">
        <v>474759.855006542</v>
      </c>
      <c r="X66" s="141">
        <v>48536.79500326326</v>
      </c>
      <c r="Y66" s="141">
        <v>73204.4914862178</v>
      </c>
      <c r="Z66" s="141">
        <v>48812.7726273724</v>
      </c>
      <c r="AA66" s="141">
        <v>41953.5143895624</v>
      </c>
      <c r="AB66" s="141">
        <v>673.338123120367</v>
      </c>
      <c r="AC66" s="177">
        <f t="shared" si="47"/>
        <v>1919190.7902499223</v>
      </c>
    </row>
    <row r="67" spans="1:29" ht="12.75">
      <c r="A67" s="144" t="s">
        <v>19</v>
      </c>
      <c r="B67" s="142">
        <f>SUM(B55:B66)</f>
        <v>2313.0587907771337</v>
      </c>
      <c r="C67" s="142">
        <f aca="true" t="shared" si="51" ref="C67:M67">SUM(C55:C66)</f>
        <v>4765.161105083115</v>
      </c>
      <c r="D67" s="142">
        <f t="shared" si="51"/>
        <v>204.1554972513335</v>
      </c>
      <c r="E67" s="142">
        <f t="shared" si="51"/>
        <v>5034.058862325268</v>
      </c>
      <c r="F67" s="142">
        <f t="shared" si="51"/>
        <v>12.59196266317027</v>
      </c>
      <c r="G67" s="142">
        <f t="shared" si="51"/>
        <v>4591.978349684738</v>
      </c>
      <c r="H67" s="142">
        <f t="shared" si="51"/>
        <v>3807.471474384752</v>
      </c>
      <c r="I67" s="142">
        <f t="shared" si="51"/>
        <v>542.4003976383194</v>
      </c>
      <c r="J67" s="142">
        <f t="shared" si="51"/>
        <v>1277.2397893217526</v>
      </c>
      <c r="K67" s="142">
        <f t="shared" si="51"/>
        <v>369.99535867868644</v>
      </c>
      <c r="L67" s="142">
        <f t="shared" si="51"/>
        <v>575.228783327174</v>
      </c>
      <c r="M67" s="142">
        <f t="shared" si="51"/>
        <v>8.540635010351247</v>
      </c>
      <c r="N67" s="142">
        <f t="shared" si="46"/>
        <v>23501.881006145795</v>
      </c>
      <c r="P67" s="144" t="s">
        <v>19</v>
      </c>
      <c r="Q67" s="177">
        <f>SUM(Q55:Q66)</f>
        <v>2368572.201755785</v>
      </c>
      <c r="R67" s="177">
        <f aca="true" t="shared" si="52" ref="R67:AC67">SUM(R55:R66)</f>
        <v>4879524.97160511</v>
      </c>
      <c r="S67" s="177">
        <f t="shared" si="52"/>
        <v>209055.2291853655</v>
      </c>
      <c r="T67" s="177">
        <f t="shared" si="52"/>
        <v>5154876.275021074</v>
      </c>
      <c r="U67" s="177">
        <f t="shared" si="52"/>
        <v>12894.169767086356</v>
      </c>
      <c r="V67" s="177">
        <f t="shared" si="52"/>
        <v>4702185.830077171</v>
      </c>
      <c r="W67" s="177">
        <f t="shared" si="52"/>
        <v>3898850.789769986</v>
      </c>
      <c r="X67" s="177">
        <f t="shared" si="52"/>
        <v>555418.0071816391</v>
      </c>
      <c r="Y67" s="177">
        <f t="shared" si="52"/>
        <v>1307893.5442654747</v>
      </c>
      <c r="Z67" s="177">
        <f t="shared" si="52"/>
        <v>378875.2472869749</v>
      </c>
      <c r="AA67" s="177">
        <f t="shared" si="52"/>
        <v>589034.2741270262</v>
      </c>
      <c r="AB67" s="177">
        <f t="shared" si="52"/>
        <v>8745.610250599677</v>
      </c>
      <c r="AC67" s="177">
        <f t="shared" si="52"/>
        <v>24065926.150293298</v>
      </c>
    </row>
    <row r="68" spans="1:13" ht="12.75">
      <c r="A68" s="146" t="s">
        <v>36</v>
      </c>
      <c r="B68" s="145">
        <f>AVERAGE(B55:B66)</f>
        <v>192.7548992314278</v>
      </c>
      <c r="C68" s="145">
        <f aca="true" t="shared" si="53" ref="C68:M68">AVERAGE(C55:C66)</f>
        <v>397.09675875692625</v>
      </c>
      <c r="D68" s="145">
        <f t="shared" si="53"/>
        <v>17.01295810427779</v>
      </c>
      <c r="E68" s="145">
        <f t="shared" si="53"/>
        <v>419.50490519377234</v>
      </c>
      <c r="F68" s="145">
        <f t="shared" si="53"/>
        <v>1.0493302219308558</v>
      </c>
      <c r="G68" s="145">
        <f t="shared" si="53"/>
        <v>382.66486247372814</v>
      </c>
      <c r="H68" s="145">
        <f t="shared" si="53"/>
        <v>317.2892895320627</v>
      </c>
      <c r="I68" s="145">
        <f t="shared" si="53"/>
        <v>45.20003313652662</v>
      </c>
      <c r="J68" s="145">
        <f t="shared" si="53"/>
        <v>106.43664911014605</v>
      </c>
      <c r="K68" s="145">
        <f t="shared" si="53"/>
        <v>30.832946556557204</v>
      </c>
      <c r="L68" s="145">
        <f t="shared" si="53"/>
        <v>47.93573194393117</v>
      </c>
      <c r="M68" s="145">
        <f t="shared" si="53"/>
        <v>0.7117195841959373</v>
      </c>
    </row>
    <row r="69" spans="1:16" ht="12.75">
      <c r="A69" s="241" t="s">
        <v>131</v>
      </c>
      <c r="B69" s="236">
        <v>2378.330091915208</v>
      </c>
      <c r="C69" s="236">
        <v>1418.5444757995174</v>
      </c>
      <c r="D69" s="236">
        <v>151.5675746870041</v>
      </c>
      <c r="E69" s="236">
        <v>5627.29691629313</v>
      </c>
      <c r="F69" s="236">
        <v>20.59110397774745</v>
      </c>
      <c r="G69" s="236">
        <v>4255.623154638468</v>
      </c>
      <c r="H69" s="236">
        <v>2161.321573356039</v>
      </c>
      <c r="I69" s="236">
        <v>383.6480041500203</v>
      </c>
      <c r="J69" s="236">
        <v>1388.5250310475176</v>
      </c>
      <c r="K69" s="236">
        <v>169.07318274293493</v>
      </c>
      <c r="L69" s="236">
        <v>547.693270146636</v>
      </c>
      <c r="M69" s="236">
        <v>5.944770962020806</v>
      </c>
      <c r="N69" s="142">
        <f>SUM(B69:M69)</f>
        <v>18508.159149716244</v>
      </c>
      <c r="P69" s="38"/>
    </row>
    <row r="71" spans="2:13" ht="12.75">
      <c r="B71" s="345" t="s">
        <v>37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</row>
    <row r="72" spans="1:13" ht="26.25">
      <c r="A72" s="180" t="s">
        <v>20</v>
      </c>
      <c r="B72" s="181" t="s">
        <v>7</v>
      </c>
      <c r="C72" s="181" t="s">
        <v>8</v>
      </c>
      <c r="D72" s="181" t="s">
        <v>9</v>
      </c>
      <c r="E72" s="181" t="s">
        <v>10</v>
      </c>
      <c r="F72" s="181" t="s">
        <v>11</v>
      </c>
      <c r="G72" s="182" t="s">
        <v>18</v>
      </c>
      <c r="H72" s="183" t="s">
        <v>177</v>
      </c>
      <c r="I72" s="182" t="s">
        <v>12</v>
      </c>
      <c r="J72" s="182" t="s">
        <v>23</v>
      </c>
      <c r="K72" s="182" t="s">
        <v>13</v>
      </c>
      <c r="L72" s="182" t="s">
        <v>16</v>
      </c>
      <c r="M72" s="182" t="s">
        <v>14</v>
      </c>
    </row>
    <row r="73" spans="1:15" ht="12.75">
      <c r="A73" s="228">
        <f>A21</f>
        <v>43009</v>
      </c>
      <c r="B73" s="229">
        <f>B55-B$68</f>
        <v>-42.20535050719823</v>
      </c>
      <c r="C73" s="229">
        <f aca="true" t="shared" si="54" ref="C73:L73">C55-C$68</f>
        <v>-120.73033930677684</v>
      </c>
      <c r="D73" s="229">
        <f t="shared" si="54"/>
        <v>4.289385622672505</v>
      </c>
      <c r="E73" s="229">
        <f t="shared" si="54"/>
        <v>-79.10335077046471</v>
      </c>
      <c r="F73" s="229">
        <f t="shared" si="54"/>
        <v>0.40547249142332387</v>
      </c>
      <c r="G73" s="229">
        <f t="shared" si="54"/>
        <v>255.38743651540517</v>
      </c>
      <c r="H73" s="229">
        <f t="shared" si="54"/>
        <v>-148.51507008398946</v>
      </c>
      <c r="I73" s="229">
        <f t="shared" si="54"/>
        <v>-7.224446348330829</v>
      </c>
      <c r="J73" s="229">
        <f t="shared" si="54"/>
        <v>-15.372193529665978</v>
      </c>
      <c r="K73" s="229">
        <f t="shared" si="54"/>
        <v>-5.597413211282301</v>
      </c>
      <c r="L73" s="229">
        <f t="shared" si="54"/>
        <v>-6.869238456037024</v>
      </c>
      <c r="M73" s="229">
        <f>M55-M$16</f>
        <v>0.45674501897705494</v>
      </c>
      <c r="N73" s="14"/>
      <c r="O73" s="14"/>
    </row>
    <row r="74" spans="1:13" ht="12.75">
      <c r="A74" s="228">
        <f aca="true" t="shared" si="55" ref="A74:A84">A22</f>
        <v>43040</v>
      </c>
      <c r="B74" s="229">
        <f aca="true" t="shared" si="56" ref="B74:L74">B56-B$68</f>
        <v>-0.4920310089426323</v>
      </c>
      <c r="C74" s="229">
        <f t="shared" si="56"/>
        <v>-57.972610548588364</v>
      </c>
      <c r="D74" s="229">
        <f t="shared" si="56"/>
        <v>5.287742084685881</v>
      </c>
      <c r="E74" s="229">
        <f t="shared" si="56"/>
        <v>-52.637364228225465</v>
      </c>
      <c r="F74" s="229">
        <f t="shared" si="56"/>
        <v>0.08037449435164423</v>
      </c>
      <c r="G74" s="229">
        <f t="shared" si="56"/>
        <v>-152.79822117063628</v>
      </c>
      <c r="H74" s="229">
        <f t="shared" si="56"/>
        <v>-140.60322617291132</v>
      </c>
      <c r="I74" s="229">
        <f t="shared" si="56"/>
        <v>-11.849323295843114</v>
      </c>
      <c r="J74" s="229">
        <f t="shared" si="56"/>
        <v>-25.575581784430724</v>
      </c>
      <c r="K74" s="229">
        <f t="shared" si="56"/>
        <v>-9.20873060216033</v>
      </c>
      <c r="L74" s="229">
        <f t="shared" si="56"/>
        <v>2.6322377934667855</v>
      </c>
      <c r="M74" s="229">
        <f aca="true" t="shared" si="57" ref="M74:M84">M56-M$16</f>
        <v>0.6675602126179379</v>
      </c>
    </row>
    <row r="75" spans="1:13" ht="12.75">
      <c r="A75" s="228">
        <f t="shared" si="55"/>
        <v>43070</v>
      </c>
      <c r="B75" s="229">
        <f aca="true" t="shared" si="58" ref="B75:L75">B57-B$68</f>
        <v>25.85511537313343</v>
      </c>
      <c r="C75" s="229">
        <f t="shared" si="58"/>
        <v>479.16386913043317</v>
      </c>
      <c r="D75" s="229">
        <f t="shared" si="58"/>
        <v>-2.929470702969782</v>
      </c>
      <c r="E75" s="229">
        <f t="shared" si="58"/>
        <v>-57.09092507798721</v>
      </c>
      <c r="F75" s="229">
        <f t="shared" si="58"/>
        <v>-0.2697579571702112</v>
      </c>
      <c r="G75" s="229">
        <f t="shared" si="58"/>
        <v>-146.8505097844155</v>
      </c>
      <c r="H75" s="229">
        <f t="shared" si="58"/>
        <v>-195.8723287385002</v>
      </c>
      <c r="I75" s="229">
        <f t="shared" si="58"/>
        <v>-1.0168872456056945</v>
      </c>
      <c r="J75" s="229">
        <f t="shared" si="58"/>
        <v>19.04710997115278</v>
      </c>
      <c r="K75" s="229">
        <f t="shared" si="58"/>
        <v>-10.7603913887657</v>
      </c>
      <c r="L75" s="229">
        <f t="shared" si="58"/>
        <v>-2.440326029534681</v>
      </c>
      <c r="M75" s="229">
        <f t="shared" si="57"/>
        <v>0.3994043115963372</v>
      </c>
    </row>
    <row r="76" spans="1:13" ht="12.75">
      <c r="A76" s="228">
        <f t="shared" si="55"/>
        <v>43101</v>
      </c>
      <c r="B76" s="229">
        <f aca="true" t="shared" si="59" ref="B76:L76">B58-B$68</f>
        <v>-20.250087959407296</v>
      </c>
      <c r="C76" s="229">
        <f t="shared" si="59"/>
        <v>81.11285368013625</v>
      </c>
      <c r="D76" s="229">
        <f t="shared" si="59"/>
        <v>-1.5016868139004451</v>
      </c>
      <c r="E76" s="229">
        <f t="shared" si="59"/>
        <v>-28.46288730626651</v>
      </c>
      <c r="F76" s="229">
        <f t="shared" si="59"/>
        <v>1.602267995286859</v>
      </c>
      <c r="G76" s="229">
        <f t="shared" si="59"/>
        <v>-122.965776764488</v>
      </c>
      <c r="H76" s="229">
        <f t="shared" si="59"/>
        <v>-124.77972915348457</v>
      </c>
      <c r="I76" s="229">
        <f t="shared" si="59"/>
        <v>8.537313608020995</v>
      </c>
      <c r="J76" s="229">
        <f t="shared" si="59"/>
        <v>78.19206637856587</v>
      </c>
      <c r="K76" s="229">
        <f t="shared" si="59"/>
        <v>-5.9650316414674585</v>
      </c>
      <c r="L76" s="229">
        <f t="shared" si="59"/>
        <v>-3.56658741241867</v>
      </c>
      <c r="M76" s="229">
        <f t="shared" si="57"/>
        <v>0.7925775396470648</v>
      </c>
    </row>
    <row r="77" spans="1:13" ht="12.75">
      <c r="A77" s="228">
        <f t="shared" si="55"/>
        <v>43132</v>
      </c>
      <c r="B77" s="229">
        <f aca="true" t="shared" si="60" ref="B77:L77">B59-B$68</f>
        <v>-33.98258446327887</v>
      </c>
      <c r="C77" s="229">
        <f t="shared" si="60"/>
        <v>76.96212615545852</v>
      </c>
      <c r="D77" s="229">
        <f t="shared" si="60"/>
        <v>0.9899363790150808</v>
      </c>
      <c r="E77" s="229">
        <f t="shared" si="60"/>
        <v>-97.89770112006727</v>
      </c>
      <c r="F77" s="229">
        <f t="shared" si="60"/>
        <v>-0.18309919968646415</v>
      </c>
      <c r="G77" s="229">
        <f t="shared" si="60"/>
        <v>-54.550665793741416</v>
      </c>
      <c r="H77" s="229">
        <f t="shared" si="60"/>
        <v>-51.732505488316576</v>
      </c>
      <c r="I77" s="229">
        <f t="shared" si="60"/>
        <v>-7.638310106319835</v>
      </c>
      <c r="J77" s="229">
        <f t="shared" si="60"/>
        <v>31.301551966268022</v>
      </c>
      <c r="K77" s="229">
        <f t="shared" si="60"/>
        <v>3.7579167821931847</v>
      </c>
      <c r="L77" s="229">
        <f t="shared" si="60"/>
        <v>-8.315283421070326</v>
      </c>
      <c r="M77" s="229">
        <f t="shared" si="57"/>
        <v>0.6708814223448295</v>
      </c>
    </row>
    <row r="78" spans="1:13" ht="12.75">
      <c r="A78" s="228">
        <f t="shared" si="55"/>
        <v>43160</v>
      </c>
      <c r="B78" s="229">
        <f aca="true" t="shared" si="61" ref="B78:L78">B60-B$68</f>
        <v>11.7730832770728</v>
      </c>
      <c r="C78" s="229">
        <f t="shared" si="61"/>
        <v>-157.30583428397802</v>
      </c>
      <c r="D78" s="229">
        <f t="shared" si="61"/>
        <v>2.028075800537934</v>
      </c>
      <c r="E78" s="229">
        <f t="shared" si="61"/>
        <v>32.823545422878055</v>
      </c>
      <c r="F78" s="229">
        <f t="shared" si="61"/>
        <v>-0.6362740746742445</v>
      </c>
      <c r="G78" s="229">
        <f t="shared" si="61"/>
        <v>-53.124959176182074</v>
      </c>
      <c r="H78" s="229">
        <f t="shared" si="61"/>
        <v>-215.87419409158713</v>
      </c>
      <c r="I78" s="229">
        <f t="shared" si="61"/>
        <v>7.596933507661959</v>
      </c>
      <c r="J78" s="229">
        <f t="shared" si="61"/>
        <v>2.7204527934232914</v>
      </c>
      <c r="K78" s="229">
        <f t="shared" si="61"/>
        <v>-1.4521026928834715</v>
      </c>
      <c r="L78" s="229">
        <f t="shared" si="61"/>
        <v>8.530033140901843</v>
      </c>
      <c r="M78" s="229">
        <f t="shared" si="57"/>
        <v>0.6114536918876566</v>
      </c>
    </row>
    <row r="79" spans="1:13" ht="12.75">
      <c r="A79" s="228">
        <f t="shared" si="55"/>
        <v>43191</v>
      </c>
      <c r="B79" s="229">
        <f aca="true" t="shared" si="62" ref="B79:L79">B61-B$68</f>
        <v>49.662016386247416</v>
      </c>
      <c r="C79" s="229">
        <f t="shared" si="62"/>
        <v>-87.8959946638081</v>
      </c>
      <c r="D79" s="229">
        <f t="shared" si="62"/>
        <v>-0.77732513098033</v>
      </c>
      <c r="E79" s="229">
        <f t="shared" si="62"/>
        <v>55.59795400551087</v>
      </c>
      <c r="F79" s="229">
        <f t="shared" si="62"/>
        <v>0.3747245740371423</v>
      </c>
      <c r="G79" s="229">
        <f t="shared" si="62"/>
        <v>-100.56429621050171</v>
      </c>
      <c r="H79" s="229">
        <f t="shared" si="62"/>
        <v>-252.31752600213514</v>
      </c>
      <c r="I79" s="229">
        <f t="shared" si="62"/>
        <v>-11.301660640121192</v>
      </c>
      <c r="J79" s="229">
        <f t="shared" si="62"/>
        <v>-3.4461216865142177</v>
      </c>
      <c r="K79" s="229">
        <f t="shared" si="62"/>
        <v>-7.756268388454274</v>
      </c>
      <c r="L79" s="229">
        <f t="shared" si="62"/>
        <v>14.933338957631527</v>
      </c>
      <c r="M79" s="229">
        <f t="shared" si="57"/>
        <v>0.8159556734317825</v>
      </c>
    </row>
    <row r="80" spans="1:13" ht="12.75">
      <c r="A80" s="228">
        <f t="shared" si="55"/>
        <v>43221</v>
      </c>
      <c r="B80" s="229">
        <f aca="true" t="shared" si="63" ref="B80:L80">B62-B$68</f>
        <v>-56.2530433315043</v>
      </c>
      <c r="C80" s="229">
        <f t="shared" si="63"/>
        <v>-81.2178186295962</v>
      </c>
      <c r="D80" s="229">
        <f t="shared" si="63"/>
        <v>-0.2968391484404833</v>
      </c>
      <c r="E80" s="229">
        <f t="shared" si="63"/>
        <v>159.0592640487394</v>
      </c>
      <c r="F80" s="229">
        <f t="shared" si="63"/>
        <v>-0.5369767214085619</v>
      </c>
      <c r="G80" s="229">
        <f t="shared" si="63"/>
        <v>-14.789064430967528</v>
      </c>
      <c r="H80" s="229">
        <f t="shared" si="63"/>
        <v>201.43131698309156</v>
      </c>
      <c r="I80" s="229">
        <f t="shared" si="63"/>
        <v>-9.911448284125562</v>
      </c>
      <c r="J80" s="229">
        <f t="shared" si="63"/>
        <v>-14.546971547399764</v>
      </c>
      <c r="K80" s="229">
        <f t="shared" si="63"/>
        <v>-7.674408742733082</v>
      </c>
      <c r="L80" s="229">
        <f t="shared" si="63"/>
        <v>0.5571369054451978</v>
      </c>
      <c r="M80" s="229">
        <f t="shared" si="57"/>
        <v>0.6502543816377894</v>
      </c>
    </row>
    <row r="81" spans="1:13" ht="12.75">
      <c r="A81" s="228">
        <f t="shared" si="55"/>
        <v>43252</v>
      </c>
      <c r="B81" s="229">
        <f aca="true" t="shared" si="64" ref="B81:L81">B63-B$68</f>
        <v>-9.431852148172567</v>
      </c>
      <c r="C81" s="229">
        <f t="shared" si="64"/>
        <v>-187.9025031838159</v>
      </c>
      <c r="D81" s="229">
        <f t="shared" si="64"/>
        <v>-2.608846674984722</v>
      </c>
      <c r="E81" s="229">
        <f t="shared" si="64"/>
        <v>38.36231321274033</v>
      </c>
      <c r="F81" s="229">
        <f t="shared" si="64"/>
        <v>-0.5750017036386879</v>
      </c>
      <c r="G81" s="229">
        <f t="shared" si="64"/>
        <v>38.730135349706586</v>
      </c>
      <c r="H81" s="229">
        <f t="shared" si="64"/>
        <v>378.1731579079256</v>
      </c>
      <c r="I81" s="229">
        <f t="shared" si="64"/>
        <v>11.926511646701655</v>
      </c>
      <c r="J81" s="229">
        <f t="shared" si="64"/>
        <v>-35.012712438987066</v>
      </c>
      <c r="K81" s="229">
        <f t="shared" si="64"/>
        <v>6.688463628839088</v>
      </c>
      <c r="L81" s="229">
        <f t="shared" si="64"/>
        <v>-5.14242432292199</v>
      </c>
      <c r="M81" s="229">
        <f t="shared" si="57"/>
        <v>0.5740728973724272</v>
      </c>
    </row>
    <row r="82" spans="1:13" ht="12.75">
      <c r="A82" s="228">
        <f t="shared" si="55"/>
        <v>43282</v>
      </c>
      <c r="B82" s="229">
        <f aca="true" t="shared" si="65" ref="B82:L82">B64-B$68</f>
        <v>-46.09050877024967</v>
      </c>
      <c r="C82" s="229">
        <f t="shared" si="65"/>
        <v>131.82251715698777</v>
      </c>
      <c r="D82" s="229">
        <f t="shared" si="65"/>
        <v>-2.0201160375039606</v>
      </c>
      <c r="E82" s="229">
        <f t="shared" si="65"/>
        <v>-13.141689602643453</v>
      </c>
      <c r="F82" s="229">
        <f t="shared" si="65"/>
        <v>-0.6021505615715316</v>
      </c>
      <c r="G82" s="229">
        <f t="shared" si="65"/>
        <v>229.09557123916863</v>
      </c>
      <c r="H82" s="229">
        <f t="shared" si="65"/>
        <v>226.25803581126053</v>
      </c>
      <c r="I82" s="229">
        <f t="shared" si="65"/>
        <v>9.70097445719368</v>
      </c>
      <c r="J82" s="229">
        <f t="shared" si="65"/>
        <v>-27.333093051781105</v>
      </c>
      <c r="K82" s="229">
        <f t="shared" si="65"/>
        <v>9.34756061269426</v>
      </c>
      <c r="L82" s="229">
        <f t="shared" si="65"/>
        <v>1.7256540410345593</v>
      </c>
      <c r="M82" s="229">
        <f t="shared" si="57"/>
        <v>0.7790253338217025</v>
      </c>
    </row>
    <row r="83" spans="1:13" ht="12.75">
      <c r="A83" s="228">
        <f t="shared" si="55"/>
        <v>43313</v>
      </c>
      <c r="B83" s="229">
        <f aca="true" t="shared" si="66" ref="B83:L83">B65-B$68</f>
        <v>164.0688068788676</v>
      </c>
      <c r="C83" s="229">
        <f t="shared" si="66"/>
        <v>61.95797314619682</v>
      </c>
      <c r="D83" s="229">
        <f t="shared" si="66"/>
        <v>-1.744869015162653</v>
      </c>
      <c r="E83" s="229">
        <f t="shared" si="66"/>
        <v>10.170216813853642</v>
      </c>
      <c r="F83" s="229">
        <f t="shared" si="66"/>
        <v>0.13079727455465195</v>
      </c>
      <c r="G83" s="229">
        <f t="shared" si="66"/>
        <v>181.28792227156464</v>
      </c>
      <c r="H83" s="229">
        <f t="shared" si="66"/>
        <v>177.48868765588264</v>
      </c>
      <c r="I83" s="229">
        <f t="shared" si="66"/>
        <v>8.981161966920283</v>
      </c>
      <c r="J83" s="229">
        <f t="shared" si="66"/>
        <v>24.973380822505305</v>
      </c>
      <c r="K83" s="229">
        <f t="shared" si="66"/>
        <v>11.784628931658908</v>
      </c>
      <c r="L83" s="229">
        <f t="shared" si="66"/>
        <v>4.920961851377037</v>
      </c>
      <c r="M83" s="229">
        <f t="shared" si="57"/>
        <v>0.642593432823598</v>
      </c>
    </row>
    <row r="84" spans="1:13" ht="12.75">
      <c r="A84" s="228">
        <f t="shared" si="55"/>
        <v>43344</v>
      </c>
      <c r="B84" s="229">
        <f aca="true" t="shared" si="67" ref="B84:L84">B66-B$68</f>
        <v>-42.653563726567256</v>
      </c>
      <c r="C84" s="229">
        <f t="shared" si="67"/>
        <v>-137.99423865264987</v>
      </c>
      <c r="D84" s="229">
        <f t="shared" si="67"/>
        <v>-0.7159863629690015</v>
      </c>
      <c r="E84" s="229">
        <f t="shared" si="67"/>
        <v>32.32062460193271</v>
      </c>
      <c r="F84" s="229">
        <f t="shared" si="67"/>
        <v>0.20962338849607787</v>
      </c>
      <c r="G84" s="229">
        <f t="shared" si="67"/>
        <v>-58.857572044911194</v>
      </c>
      <c r="H84" s="229">
        <f t="shared" si="67"/>
        <v>146.34338137276347</v>
      </c>
      <c r="I84" s="229">
        <f t="shared" si="67"/>
        <v>2.199180733847655</v>
      </c>
      <c r="J84" s="229">
        <f t="shared" si="67"/>
        <v>-34.94788789313648</v>
      </c>
      <c r="K84" s="229">
        <f t="shared" si="67"/>
        <v>16.835776712361152</v>
      </c>
      <c r="L84" s="229">
        <f t="shared" si="67"/>
        <v>-6.965503047874137</v>
      </c>
      <c r="M84" s="229">
        <f t="shared" si="57"/>
        <v>0.5827790941930667</v>
      </c>
    </row>
    <row r="85" spans="1:13" ht="12.75">
      <c r="A85" s="180" t="s">
        <v>15</v>
      </c>
      <c r="B85" s="230">
        <f>SUM(B73:B84)</f>
        <v>4.263256414560601E-13</v>
      </c>
      <c r="C85" s="230">
        <f aca="true" t="shared" si="68" ref="C85:M85">SUM(C73:C84)</f>
        <v>-7.389644451905042E-13</v>
      </c>
      <c r="D85" s="230">
        <f t="shared" si="68"/>
        <v>2.3092638912203256E-14</v>
      </c>
      <c r="E85" s="230">
        <f t="shared" si="68"/>
        <v>3.979039320256561E-13</v>
      </c>
      <c r="F85" s="230">
        <f t="shared" si="68"/>
        <v>-1.6653345369377348E-15</v>
      </c>
      <c r="G85" s="230">
        <f t="shared" si="68"/>
        <v>1.3642420526593924E-12</v>
      </c>
      <c r="H85" s="230">
        <f t="shared" si="68"/>
        <v>-6.821210263296962E-13</v>
      </c>
      <c r="I85" s="230">
        <f t="shared" si="68"/>
        <v>0</v>
      </c>
      <c r="J85" s="230">
        <f t="shared" si="68"/>
        <v>-7.105427357601002E-14</v>
      </c>
      <c r="K85" s="230">
        <f t="shared" si="68"/>
        <v>-2.842170943040401E-14</v>
      </c>
      <c r="L85" s="230">
        <f t="shared" si="68"/>
        <v>1.2079226507921703E-13</v>
      </c>
      <c r="M85" s="230">
        <f t="shared" si="68"/>
        <v>7.643303010351247</v>
      </c>
    </row>
    <row r="86" spans="2:13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2.75">
      <c r="B87" s="345" t="s">
        <v>38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</row>
    <row r="88" spans="1:13" ht="26.25">
      <c r="A88" s="180" t="s">
        <v>20</v>
      </c>
      <c r="B88" s="181" t="s">
        <v>7</v>
      </c>
      <c r="C88" s="181" t="s">
        <v>8</v>
      </c>
      <c r="D88" s="181" t="s">
        <v>9</v>
      </c>
      <c r="E88" s="181" t="s">
        <v>10</v>
      </c>
      <c r="F88" s="181" t="s">
        <v>11</v>
      </c>
      <c r="G88" s="182" t="s">
        <v>18</v>
      </c>
      <c r="H88" s="183" t="s">
        <v>177</v>
      </c>
      <c r="I88" s="182" t="s">
        <v>12</v>
      </c>
      <c r="J88" s="182" t="s">
        <v>23</v>
      </c>
      <c r="K88" s="182" t="s">
        <v>13</v>
      </c>
      <c r="L88" s="182" t="s">
        <v>16</v>
      </c>
      <c r="M88" s="182" t="s">
        <v>14</v>
      </c>
    </row>
    <row r="89" spans="1:13" ht="12.75">
      <c r="A89" s="228">
        <f>A73</f>
        <v>43009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</row>
    <row r="90" spans="1:14" ht="12.75">
      <c r="A90" s="228">
        <f aca="true" t="shared" si="69" ref="A90:A100">A74</f>
        <v>43040</v>
      </c>
      <c r="B90" s="229">
        <f>B56-B55</f>
        <v>41.7133194982556</v>
      </c>
      <c r="C90" s="229">
        <f aca="true" t="shared" si="70" ref="C90:M90">C56-C55</f>
        <v>62.75772875818848</v>
      </c>
      <c r="D90" s="229">
        <f t="shared" si="70"/>
        <v>0.9983564620133762</v>
      </c>
      <c r="E90" s="229">
        <f t="shared" si="70"/>
        <v>26.46598654223925</v>
      </c>
      <c r="F90" s="229">
        <f t="shared" si="70"/>
        <v>-0.32509799707167963</v>
      </c>
      <c r="G90" s="229">
        <f t="shared" si="70"/>
        <v>-408.18565768604145</v>
      </c>
      <c r="H90" s="229">
        <f t="shared" si="70"/>
        <v>7.911843911078137</v>
      </c>
      <c r="I90" s="229">
        <f t="shared" si="70"/>
        <v>-4.624876947512284</v>
      </c>
      <c r="J90" s="229">
        <f t="shared" si="70"/>
        <v>-10.203388254764747</v>
      </c>
      <c r="K90" s="229">
        <f t="shared" si="70"/>
        <v>-3.6113173908780283</v>
      </c>
      <c r="L90" s="229">
        <f t="shared" si="70"/>
        <v>9.50147624950381</v>
      </c>
      <c r="M90" s="229">
        <f t="shared" si="70"/>
        <v>0.21081519364088286</v>
      </c>
      <c r="N90" s="16"/>
    </row>
    <row r="91" spans="1:14" ht="12.75">
      <c r="A91" s="228">
        <f t="shared" si="69"/>
        <v>43070</v>
      </c>
      <c r="B91" s="229">
        <f aca="true" t="shared" si="71" ref="B91:M91">B57-B56</f>
        <v>26.347146382076062</v>
      </c>
      <c r="C91" s="229">
        <f t="shared" si="71"/>
        <v>537.1364796790215</v>
      </c>
      <c r="D91" s="229">
        <f t="shared" si="71"/>
        <v>-8.217212787655663</v>
      </c>
      <c r="E91" s="229">
        <f t="shared" si="71"/>
        <v>-4.453560849761743</v>
      </c>
      <c r="F91" s="229">
        <f t="shared" si="71"/>
        <v>-0.35013245152185546</v>
      </c>
      <c r="G91" s="229">
        <f t="shared" si="71"/>
        <v>5.947711386220789</v>
      </c>
      <c r="H91" s="229">
        <f t="shared" si="71"/>
        <v>-55.26910256558888</v>
      </c>
      <c r="I91" s="229">
        <f t="shared" si="71"/>
        <v>10.832436050237419</v>
      </c>
      <c r="J91" s="229">
        <f t="shared" si="71"/>
        <v>44.6226917555835</v>
      </c>
      <c r="K91" s="229">
        <f t="shared" si="71"/>
        <v>-1.551660786605371</v>
      </c>
      <c r="L91" s="229">
        <f t="shared" si="71"/>
        <v>-5.072563823001467</v>
      </c>
      <c r="M91" s="229">
        <f t="shared" si="71"/>
        <v>-0.2681559010216006</v>
      </c>
      <c r="N91" s="16"/>
    </row>
    <row r="92" spans="1:14" ht="12.75">
      <c r="A92" s="228">
        <f t="shared" si="69"/>
        <v>43101</v>
      </c>
      <c r="B92" s="229">
        <f aca="true" t="shared" si="72" ref="B92:M92">B58-B57</f>
        <v>-46.105203332540725</v>
      </c>
      <c r="C92" s="229">
        <f t="shared" si="72"/>
        <v>-398.0510154502969</v>
      </c>
      <c r="D92" s="229">
        <f t="shared" si="72"/>
        <v>1.427783889069337</v>
      </c>
      <c r="E92" s="229">
        <f t="shared" si="72"/>
        <v>28.6280377717207</v>
      </c>
      <c r="F92" s="229">
        <f t="shared" si="72"/>
        <v>1.8720259524570704</v>
      </c>
      <c r="G92" s="229">
        <f t="shared" si="72"/>
        <v>23.884733019927495</v>
      </c>
      <c r="H92" s="229">
        <f t="shared" si="72"/>
        <v>71.09259958501563</v>
      </c>
      <c r="I92" s="229">
        <f t="shared" si="72"/>
        <v>9.55420085362669</v>
      </c>
      <c r="J92" s="229">
        <f t="shared" si="72"/>
        <v>59.14495640741309</v>
      </c>
      <c r="K92" s="229">
        <f t="shared" si="72"/>
        <v>4.795359747298242</v>
      </c>
      <c r="L92" s="229">
        <f t="shared" si="72"/>
        <v>-1.126261382883989</v>
      </c>
      <c r="M92" s="229">
        <f t="shared" si="72"/>
        <v>0.3931732280507275</v>
      </c>
      <c r="N92" s="16"/>
    </row>
    <row r="93" spans="1:14" ht="12.75">
      <c r="A93" s="228">
        <f t="shared" si="69"/>
        <v>43132</v>
      </c>
      <c r="B93" s="229">
        <f aca="true" t="shared" si="73" ref="B93:M93">B59-B58</f>
        <v>-13.732496503871573</v>
      </c>
      <c r="C93" s="229">
        <f t="shared" si="73"/>
        <v>-4.150727524677734</v>
      </c>
      <c r="D93" s="229">
        <f t="shared" si="73"/>
        <v>2.491623192915526</v>
      </c>
      <c r="E93" s="229">
        <f t="shared" si="73"/>
        <v>-69.43481381380076</v>
      </c>
      <c r="F93" s="229">
        <f t="shared" si="73"/>
        <v>-1.7853671949733232</v>
      </c>
      <c r="G93" s="229">
        <f t="shared" si="73"/>
        <v>68.41511097074658</v>
      </c>
      <c r="H93" s="229">
        <f t="shared" si="73"/>
        <v>73.04722366516799</v>
      </c>
      <c r="I93" s="229">
        <f t="shared" si="73"/>
        <v>-16.17562371434083</v>
      </c>
      <c r="J93" s="229">
        <f t="shared" si="73"/>
        <v>-46.89051441229785</v>
      </c>
      <c r="K93" s="229">
        <f t="shared" si="73"/>
        <v>9.722948423660643</v>
      </c>
      <c r="L93" s="229">
        <f t="shared" si="73"/>
        <v>-4.748696008651656</v>
      </c>
      <c r="M93" s="229">
        <f t="shared" si="73"/>
        <v>-0.12169611730223528</v>
      </c>
      <c r="N93" s="16"/>
    </row>
    <row r="94" spans="1:14" ht="12.75">
      <c r="A94" s="228">
        <f t="shared" si="69"/>
        <v>43160</v>
      </c>
      <c r="B94" s="229">
        <f aca="true" t="shared" si="74" ref="B94:M94">B60-B59</f>
        <v>45.75566774035167</v>
      </c>
      <c r="C94" s="229">
        <f t="shared" si="74"/>
        <v>-234.26796043943654</v>
      </c>
      <c r="D94" s="229">
        <f t="shared" si="74"/>
        <v>1.0381394215228532</v>
      </c>
      <c r="E94" s="229">
        <f t="shared" si="74"/>
        <v>130.72124654294532</v>
      </c>
      <c r="F94" s="229">
        <f t="shared" si="74"/>
        <v>-0.4531748749877803</v>
      </c>
      <c r="G94" s="229">
        <f t="shared" si="74"/>
        <v>1.4257066175593422</v>
      </c>
      <c r="H94" s="229">
        <f t="shared" si="74"/>
        <v>-164.14168860327055</v>
      </c>
      <c r="I94" s="229">
        <f t="shared" si="74"/>
        <v>15.235243613981794</v>
      </c>
      <c r="J94" s="229">
        <f t="shared" si="74"/>
        <v>-28.58109917284473</v>
      </c>
      <c r="K94" s="229">
        <f t="shared" si="74"/>
        <v>-5.210019475076656</v>
      </c>
      <c r="L94" s="229">
        <f t="shared" si="74"/>
        <v>16.84531656197217</v>
      </c>
      <c r="M94" s="229">
        <f t="shared" si="74"/>
        <v>-0.05942773045717287</v>
      </c>
      <c r="N94" s="16"/>
    </row>
    <row r="95" spans="1:14" ht="12.75">
      <c r="A95" s="228">
        <f t="shared" si="69"/>
        <v>43191</v>
      </c>
      <c r="B95" s="229">
        <f aca="true" t="shared" si="75" ref="B95:M95">B61-B60</f>
        <v>37.888933109174616</v>
      </c>
      <c r="C95" s="229">
        <f t="shared" si="75"/>
        <v>69.40983962016992</v>
      </c>
      <c r="D95" s="229">
        <f t="shared" si="75"/>
        <v>-2.805400931518264</v>
      </c>
      <c r="E95" s="229">
        <f t="shared" si="75"/>
        <v>22.774408582632816</v>
      </c>
      <c r="F95" s="229">
        <f t="shared" si="75"/>
        <v>1.0109986487113867</v>
      </c>
      <c r="G95" s="229">
        <f t="shared" si="75"/>
        <v>-47.439337034319635</v>
      </c>
      <c r="H95" s="229">
        <f t="shared" si="75"/>
        <v>-36.44333191054804</v>
      </c>
      <c r="I95" s="229">
        <f t="shared" si="75"/>
        <v>-18.89859414778315</v>
      </c>
      <c r="J95" s="229">
        <f t="shared" si="75"/>
        <v>-6.166574479937509</v>
      </c>
      <c r="K95" s="229">
        <f t="shared" si="75"/>
        <v>-6.304165695570802</v>
      </c>
      <c r="L95" s="229">
        <f t="shared" si="75"/>
        <v>6.403305816729684</v>
      </c>
      <c r="M95" s="229">
        <f t="shared" si="75"/>
        <v>0.2045019815441259</v>
      </c>
      <c r="N95" s="16"/>
    </row>
    <row r="96" spans="1:14" ht="12.75">
      <c r="A96" s="228">
        <f t="shared" si="69"/>
        <v>43221</v>
      </c>
      <c r="B96" s="229">
        <f aca="true" t="shared" si="76" ref="B96:M96">B62-B61</f>
        <v>-105.91505971775172</v>
      </c>
      <c r="C96" s="229">
        <f t="shared" si="76"/>
        <v>6.678176034211901</v>
      </c>
      <c r="D96" s="229">
        <f t="shared" si="76"/>
        <v>0.48048598253984665</v>
      </c>
      <c r="E96" s="229">
        <f t="shared" si="76"/>
        <v>103.46131004322854</v>
      </c>
      <c r="F96" s="229">
        <f t="shared" si="76"/>
        <v>-0.9117012954457042</v>
      </c>
      <c r="G96" s="229">
        <f t="shared" si="76"/>
        <v>85.77523177953418</v>
      </c>
      <c r="H96" s="229">
        <f t="shared" si="76"/>
        <v>453.7488429852267</v>
      </c>
      <c r="I96" s="229">
        <f t="shared" si="76"/>
        <v>1.3902123559956294</v>
      </c>
      <c r="J96" s="229">
        <f t="shared" si="76"/>
        <v>-11.100849860885546</v>
      </c>
      <c r="K96" s="229">
        <f t="shared" si="76"/>
        <v>0.08185964572119175</v>
      </c>
      <c r="L96" s="229">
        <f t="shared" si="76"/>
        <v>-14.37620205218633</v>
      </c>
      <c r="M96" s="229">
        <f t="shared" si="76"/>
        <v>-0.16570129179399318</v>
      </c>
      <c r="N96" s="16"/>
    </row>
    <row r="97" spans="1:14" ht="12.75">
      <c r="A97" s="228">
        <f t="shared" si="69"/>
        <v>43252</v>
      </c>
      <c r="B97" s="229">
        <f aca="true" t="shared" si="77" ref="B97:M97">B63-B62</f>
        <v>46.821191183331734</v>
      </c>
      <c r="C97" s="229">
        <f t="shared" si="77"/>
        <v>-106.6846845542197</v>
      </c>
      <c r="D97" s="229">
        <f t="shared" si="77"/>
        <v>-2.312007526544239</v>
      </c>
      <c r="E97" s="229">
        <f t="shared" si="77"/>
        <v>-120.69695083599908</v>
      </c>
      <c r="F97" s="229">
        <f t="shared" si="77"/>
        <v>-0.0380249822301259</v>
      </c>
      <c r="G97" s="229">
        <f t="shared" si="77"/>
        <v>53.519199780674114</v>
      </c>
      <c r="H97" s="229">
        <f t="shared" si="77"/>
        <v>176.74184092483404</v>
      </c>
      <c r="I97" s="229">
        <f t="shared" si="77"/>
        <v>21.837959930827218</v>
      </c>
      <c r="J97" s="229">
        <f t="shared" si="77"/>
        <v>-20.465740891587302</v>
      </c>
      <c r="K97" s="229">
        <f t="shared" si="77"/>
        <v>14.36287237157217</v>
      </c>
      <c r="L97" s="229">
        <f t="shared" si="77"/>
        <v>-5.6995612283671875</v>
      </c>
      <c r="M97" s="229">
        <f t="shared" si="77"/>
        <v>-0.0761814842653622</v>
      </c>
      <c r="N97" s="16"/>
    </row>
    <row r="98" spans="1:14" ht="12.75">
      <c r="A98" s="228">
        <f t="shared" si="69"/>
        <v>43282</v>
      </c>
      <c r="B98" s="229">
        <f aca="true" t="shared" si="78" ref="B98:M98">B64-B63</f>
        <v>-36.6586566220771</v>
      </c>
      <c r="C98" s="229">
        <f t="shared" si="78"/>
        <v>319.72502034080367</v>
      </c>
      <c r="D98" s="229">
        <f t="shared" si="78"/>
        <v>0.5887306374807615</v>
      </c>
      <c r="E98" s="229">
        <f t="shared" si="78"/>
        <v>-51.504002815383785</v>
      </c>
      <c r="F98" s="229">
        <f t="shared" si="78"/>
        <v>-0.027148857932843773</v>
      </c>
      <c r="G98" s="229">
        <f t="shared" si="78"/>
        <v>190.36543588946205</v>
      </c>
      <c r="H98" s="229">
        <f t="shared" si="78"/>
        <v>-151.91512209666507</v>
      </c>
      <c r="I98" s="229">
        <f t="shared" si="78"/>
        <v>-2.2255371895079747</v>
      </c>
      <c r="J98" s="229">
        <f t="shared" si="78"/>
        <v>7.67961938720596</v>
      </c>
      <c r="K98" s="229">
        <f t="shared" si="78"/>
        <v>2.6590969838551715</v>
      </c>
      <c r="L98" s="229">
        <f t="shared" si="78"/>
        <v>6.868078363956549</v>
      </c>
      <c r="M98" s="229">
        <f t="shared" si="78"/>
        <v>0.2049524364492753</v>
      </c>
      <c r="N98" s="16"/>
    </row>
    <row r="99" spans="1:14" ht="12.75">
      <c r="A99" s="228">
        <f t="shared" si="69"/>
        <v>43313</v>
      </c>
      <c r="B99" s="229">
        <f aca="true" t="shared" si="79" ref="B99:M99">B65-B64</f>
        <v>210.15931564911727</v>
      </c>
      <c r="C99" s="229">
        <f t="shared" si="79"/>
        <v>-69.86454401079095</v>
      </c>
      <c r="D99" s="229">
        <f t="shared" si="79"/>
        <v>0.2752470223413077</v>
      </c>
      <c r="E99" s="229">
        <f t="shared" si="79"/>
        <v>23.311906416497095</v>
      </c>
      <c r="F99" s="229">
        <f t="shared" si="79"/>
        <v>0.7329478361261835</v>
      </c>
      <c r="G99" s="229">
        <f t="shared" si="79"/>
        <v>-47.807648967603996</v>
      </c>
      <c r="H99" s="229">
        <f t="shared" si="79"/>
        <v>-48.769348155377884</v>
      </c>
      <c r="I99" s="229">
        <f t="shared" si="79"/>
        <v>-0.719812490273398</v>
      </c>
      <c r="J99" s="229">
        <f t="shared" si="79"/>
        <v>52.30647387428641</v>
      </c>
      <c r="K99" s="229">
        <f t="shared" si="79"/>
        <v>2.4370683189646485</v>
      </c>
      <c r="L99" s="229">
        <f t="shared" si="79"/>
        <v>3.1953078103424772</v>
      </c>
      <c r="M99" s="229">
        <f t="shared" si="79"/>
        <v>-0.13643190099810443</v>
      </c>
      <c r="N99" s="16"/>
    </row>
    <row r="100" spans="1:14" ht="12.75">
      <c r="A100" s="228">
        <f t="shared" si="69"/>
        <v>43344</v>
      </c>
      <c r="B100" s="229">
        <f aca="true" t="shared" si="80" ref="B100:M100">B66-B65</f>
        <v>-206.72237060543486</v>
      </c>
      <c r="C100" s="229">
        <f t="shared" si="80"/>
        <v>-199.9522117988467</v>
      </c>
      <c r="D100" s="229">
        <f t="shared" si="80"/>
        <v>1.0288826521936514</v>
      </c>
      <c r="E100" s="229">
        <f t="shared" si="80"/>
        <v>22.150407788079065</v>
      </c>
      <c r="F100" s="229">
        <f t="shared" si="80"/>
        <v>0.07882611394142591</v>
      </c>
      <c r="G100" s="229">
        <f t="shared" si="80"/>
        <v>-240.14549431647583</v>
      </c>
      <c r="H100" s="229">
        <f t="shared" si="80"/>
        <v>-31.14530628311917</v>
      </c>
      <c r="I100" s="229">
        <f t="shared" si="80"/>
        <v>-6.781981233072628</v>
      </c>
      <c r="J100" s="229">
        <f t="shared" si="80"/>
        <v>-59.92126871564179</v>
      </c>
      <c r="K100" s="229">
        <f t="shared" si="80"/>
        <v>5.0511477807022445</v>
      </c>
      <c r="L100" s="229">
        <f t="shared" si="80"/>
        <v>-11.886464899251173</v>
      </c>
      <c r="M100" s="229">
        <f t="shared" si="80"/>
        <v>-0.059814338630531316</v>
      </c>
      <c r="N100" s="16"/>
    </row>
    <row r="104" spans="1:16" ht="12.75">
      <c r="A104" s="20" t="s">
        <v>42</v>
      </c>
      <c r="P104" s="38" t="s">
        <v>156</v>
      </c>
    </row>
    <row r="105" spans="1:35" ht="26.25">
      <c r="A105" s="150" t="s">
        <v>24</v>
      </c>
      <c r="B105" s="148" t="s">
        <v>7</v>
      </c>
      <c r="C105" s="148" t="s">
        <v>8</v>
      </c>
      <c r="D105" s="148" t="s">
        <v>9</v>
      </c>
      <c r="E105" s="148" t="s">
        <v>10</v>
      </c>
      <c r="F105" s="148" t="s">
        <v>11</v>
      </c>
      <c r="G105" s="143" t="s">
        <v>18</v>
      </c>
      <c r="H105" s="149" t="s">
        <v>177</v>
      </c>
      <c r="I105" s="143" t="s">
        <v>12</v>
      </c>
      <c r="J105" s="143" t="s">
        <v>23</v>
      </c>
      <c r="K105" s="143" t="s">
        <v>13</v>
      </c>
      <c r="L105" s="143" t="s">
        <v>16</v>
      </c>
      <c r="M105" s="143" t="s">
        <v>14</v>
      </c>
      <c r="N105" s="143" t="s">
        <v>15</v>
      </c>
      <c r="P105" s="75" t="s">
        <v>24</v>
      </c>
      <c r="Q105" s="76" t="s">
        <v>8</v>
      </c>
      <c r="R105" s="76" t="s">
        <v>9</v>
      </c>
      <c r="S105" s="76" t="s">
        <v>10</v>
      </c>
      <c r="T105" s="76" t="s">
        <v>11</v>
      </c>
      <c r="U105" s="76" t="s">
        <v>86</v>
      </c>
      <c r="V105" s="76" t="s">
        <v>87</v>
      </c>
      <c r="W105" s="76" t="s">
        <v>88</v>
      </c>
      <c r="X105" s="76" t="s">
        <v>89</v>
      </c>
      <c r="Y105" s="76" t="s">
        <v>57</v>
      </c>
      <c r="Z105" s="76" t="s">
        <v>90</v>
      </c>
      <c r="AA105" s="76" t="s">
        <v>91</v>
      </c>
      <c r="AB105" s="76" t="s">
        <v>177</v>
      </c>
      <c r="AC105" s="76" t="s">
        <v>12</v>
      </c>
      <c r="AD105" s="76" t="s">
        <v>92</v>
      </c>
      <c r="AE105" s="76" t="s">
        <v>23</v>
      </c>
      <c r="AF105" s="76" t="s">
        <v>13</v>
      </c>
      <c r="AG105" s="76" t="s">
        <v>93</v>
      </c>
      <c r="AH105" s="76" t="s">
        <v>14</v>
      </c>
      <c r="AI105" s="76" t="s">
        <v>15</v>
      </c>
    </row>
    <row r="106" spans="1:35" ht="12.75">
      <c r="A106" s="143" t="str">
        <f>P106</f>
        <v>2017-10</v>
      </c>
      <c r="B106" s="151">
        <f aca="true" t="shared" si="81" ref="B106:B117">U106+V106+W106+X106</f>
        <v>468</v>
      </c>
      <c r="C106" s="151">
        <f aca="true" t="shared" si="82" ref="C106:C117">Q106</f>
        <v>10476</v>
      </c>
      <c r="D106" s="151">
        <f aca="true" t="shared" si="83" ref="D106:D117">R106</f>
        <v>37271</v>
      </c>
      <c r="E106" s="151">
        <f aca="true" t="shared" si="84" ref="E106:E117">S106</f>
        <v>10637</v>
      </c>
      <c r="F106" s="151">
        <f aca="true" t="shared" si="85" ref="F106:F117">T106</f>
        <v>1751</v>
      </c>
      <c r="G106" s="151">
        <f>Y106+Z106+AA106</f>
        <v>18027</v>
      </c>
      <c r="H106" s="151">
        <f aca="true" t="shared" si="86" ref="H106:H117">AB106</f>
        <v>12706</v>
      </c>
      <c r="I106" s="151">
        <f>AC106+AD106</f>
        <v>2293</v>
      </c>
      <c r="J106" s="151">
        <f aca="true" t="shared" si="87" ref="J106:J117">AE106</f>
        <v>17835</v>
      </c>
      <c r="K106" s="151">
        <f aca="true" t="shared" si="88" ref="K106:K117">AF106</f>
        <v>1506</v>
      </c>
      <c r="L106" s="151">
        <f aca="true" t="shared" si="89" ref="L106:L117">AG106</f>
        <v>8216</v>
      </c>
      <c r="M106" s="151">
        <f aca="true" t="shared" si="90" ref="M106:M117">AH106</f>
        <v>9147</v>
      </c>
      <c r="N106" s="151">
        <f aca="true" t="shared" si="91" ref="N106:N118">SUM(B106:M106)</f>
        <v>130333</v>
      </c>
      <c r="P106" s="77" t="str">
        <f>P55</f>
        <v>2017-10</v>
      </c>
      <c r="Q106" s="153">
        <v>10476</v>
      </c>
      <c r="R106" s="153">
        <v>37271</v>
      </c>
      <c r="S106" s="153">
        <v>10637</v>
      </c>
      <c r="T106" s="153">
        <v>1751</v>
      </c>
      <c r="U106" s="153">
        <v>19</v>
      </c>
      <c r="V106" s="153">
        <v>171</v>
      </c>
      <c r="W106" s="153">
        <v>132</v>
      </c>
      <c r="X106" s="153">
        <v>146</v>
      </c>
      <c r="Y106" s="153">
        <v>8470</v>
      </c>
      <c r="Z106" s="153">
        <v>2442</v>
      </c>
      <c r="AA106" s="153">
        <v>7115</v>
      </c>
      <c r="AB106" s="153">
        <v>12706</v>
      </c>
      <c r="AC106" s="153">
        <v>1264</v>
      </c>
      <c r="AD106" s="153">
        <v>1029</v>
      </c>
      <c r="AE106" s="153">
        <v>17835</v>
      </c>
      <c r="AF106" s="153">
        <v>1506</v>
      </c>
      <c r="AG106" s="153">
        <v>8216</v>
      </c>
      <c r="AH106" s="153">
        <v>9147</v>
      </c>
      <c r="AI106" s="76">
        <f aca="true" t="shared" si="92" ref="AI106:AI117">SUM(Q106:AH106)</f>
        <v>130333</v>
      </c>
    </row>
    <row r="107" spans="1:35" ht="12.75">
      <c r="A107" s="143" t="str">
        <f aca="true" t="shared" si="93" ref="A107:A117">P107</f>
        <v>2017-11</v>
      </c>
      <c r="B107" s="151">
        <f t="shared" si="81"/>
        <v>605</v>
      </c>
      <c r="C107" s="151">
        <f t="shared" si="82"/>
        <v>11326</v>
      </c>
      <c r="D107" s="151">
        <f t="shared" si="83"/>
        <v>87385</v>
      </c>
      <c r="E107" s="151">
        <f t="shared" si="84"/>
        <v>10587</v>
      </c>
      <c r="F107" s="151">
        <f t="shared" si="85"/>
        <v>1538</v>
      </c>
      <c r="G107" s="151">
        <f aca="true" t="shared" si="94" ref="G107:G118">Y107+Z107+AA107</f>
        <v>18078</v>
      </c>
      <c r="H107" s="151">
        <f t="shared" si="86"/>
        <v>697260</v>
      </c>
      <c r="I107" s="151">
        <f aca="true" t="shared" si="95" ref="I107:I118">AC107+AD107</f>
        <v>2490</v>
      </c>
      <c r="J107" s="151">
        <f t="shared" si="87"/>
        <v>4526</v>
      </c>
      <c r="K107" s="151">
        <f t="shared" si="88"/>
        <v>1533</v>
      </c>
      <c r="L107" s="151">
        <f t="shared" si="89"/>
        <v>7525</v>
      </c>
      <c r="M107" s="151">
        <f t="shared" si="90"/>
        <v>9754</v>
      </c>
      <c r="N107" s="151">
        <f t="shared" si="91"/>
        <v>852607</v>
      </c>
      <c r="P107" s="77" t="str">
        <f aca="true" t="shared" si="96" ref="P107:P117">P56</f>
        <v>2017-11</v>
      </c>
      <c r="Q107" s="153">
        <v>11326</v>
      </c>
      <c r="R107" s="153">
        <v>87385</v>
      </c>
      <c r="S107" s="153">
        <v>10587</v>
      </c>
      <c r="T107" s="153">
        <v>1538</v>
      </c>
      <c r="U107" s="153">
        <v>38</v>
      </c>
      <c r="V107" s="153">
        <v>189</v>
      </c>
      <c r="W107" s="153">
        <v>138</v>
      </c>
      <c r="X107" s="153">
        <v>240</v>
      </c>
      <c r="Y107" s="153">
        <v>7829</v>
      </c>
      <c r="Z107" s="153">
        <v>2597</v>
      </c>
      <c r="AA107" s="153">
        <v>7652</v>
      </c>
      <c r="AB107" s="153">
        <v>697260</v>
      </c>
      <c r="AC107" s="153">
        <v>1405</v>
      </c>
      <c r="AD107" s="153">
        <v>1085</v>
      </c>
      <c r="AE107" s="153">
        <v>4526</v>
      </c>
      <c r="AF107" s="153">
        <v>1533</v>
      </c>
      <c r="AG107" s="153">
        <v>7525</v>
      </c>
      <c r="AH107" s="153">
        <v>9754</v>
      </c>
      <c r="AI107" s="76">
        <f t="shared" si="92"/>
        <v>852607</v>
      </c>
    </row>
    <row r="108" spans="1:35" ht="12.75">
      <c r="A108" s="143" t="str">
        <f t="shared" si="93"/>
        <v>2017-12</v>
      </c>
      <c r="B108" s="151">
        <f t="shared" si="81"/>
        <v>590</v>
      </c>
      <c r="C108" s="151">
        <f t="shared" si="82"/>
        <v>8723</v>
      </c>
      <c r="D108" s="151">
        <f t="shared" si="83"/>
        <v>58283</v>
      </c>
      <c r="E108" s="151">
        <f t="shared" si="84"/>
        <v>8989</v>
      </c>
      <c r="F108" s="151">
        <f t="shared" si="85"/>
        <v>1531</v>
      </c>
      <c r="G108" s="151">
        <f t="shared" si="94"/>
        <v>14770</v>
      </c>
      <c r="H108" s="151">
        <f t="shared" si="86"/>
        <v>214696</v>
      </c>
      <c r="I108" s="151">
        <f t="shared" si="95"/>
        <v>2159</v>
      </c>
      <c r="J108" s="151">
        <f t="shared" si="87"/>
        <v>4261</v>
      </c>
      <c r="K108" s="151">
        <f t="shared" si="88"/>
        <v>1137</v>
      </c>
      <c r="L108" s="151">
        <f t="shared" si="89"/>
        <v>6065</v>
      </c>
      <c r="M108" s="151">
        <f t="shared" si="90"/>
        <v>7794</v>
      </c>
      <c r="N108" s="151">
        <f t="shared" si="91"/>
        <v>328998</v>
      </c>
      <c r="P108" s="77" t="str">
        <f t="shared" si="96"/>
        <v>2017-12</v>
      </c>
      <c r="Q108" s="153">
        <v>8723</v>
      </c>
      <c r="R108" s="153">
        <v>58283</v>
      </c>
      <c r="S108" s="153">
        <v>8989</v>
      </c>
      <c r="T108" s="153">
        <v>1531</v>
      </c>
      <c r="U108" s="153">
        <v>33</v>
      </c>
      <c r="V108" s="153">
        <v>210</v>
      </c>
      <c r="W108" s="153">
        <v>137</v>
      </c>
      <c r="X108" s="153">
        <v>210</v>
      </c>
      <c r="Y108" s="153">
        <v>7053</v>
      </c>
      <c r="Z108" s="153">
        <v>1946</v>
      </c>
      <c r="AA108" s="153">
        <v>5771</v>
      </c>
      <c r="AB108" s="153">
        <v>214696</v>
      </c>
      <c r="AC108" s="153">
        <v>1362</v>
      </c>
      <c r="AD108" s="153">
        <v>797</v>
      </c>
      <c r="AE108" s="153">
        <v>4261</v>
      </c>
      <c r="AF108" s="153">
        <v>1137</v>
      </c>
      <c r="AG108" s="153">
        <v>6065</v>
      </c>
      <c r="AH108" s="153">
        <v>7794</v>
      </c>
      <c r="AI108" s="76">
        <f t="shared" si="92"/>
        <v>328998</v>
      </c>
    </row>
    <row r="109" spans="1:35" ht="12.75">
      <c r="A109" s="143" t="str">
        <f t="shared" si="93"/>
        <v>2018-01</v>
      </c>
      <c r="B109" s="151">
        <f t="shared" si="81"/>
        <v>617</v>
      </c>
      <c r="C109" s="151">
        <f t="shared" si="82"/>
        <v>8492</v>
      </c>
      <c r="D109" s="151">
        <f t="shared" si="83"/>
        <v>63675</v>
      </c>
      <c r="E109" s="151">
        <f t="shared" si="84"/>
        <v>10000</v>
      </c>
      <c r="F109" s="151">
        <f t="shared" si="85"/>
        <v>1481</v>
      </c>
      <c r="G109" s="151">
        <f t="shared" si="94"/>
        <v>16171</v>
      </c>
      <c r="H109" s="151">
        <f t="shared" si="86"/>
        <v>61134</v>
      </c>
      <c r="I109" s="151">
        <f t="shared" si="95"/>
        <v>2318</v>
      </c>
      <c r="J109" s="151">
        <f t="shared" si="87"/>
        <v>3960</v>
      </c>
      <c r="K109" s="151">
        <f t="shared" si="88"/>
        <v>1841</v>
      </c>
      <c r="L109" s="151">
        <f t="shared" si="89"/>
        <v>6062</v>
      </c>
      <c r="M109" s="151">
        <f t="shared" si="90"/>
        <v>9173</v>
      </c>
      <c r="N109" s="151">
        <f t="shared" si="91"/>
        <v>184924</v>
      </c>
      <c r="P109" s="77" t="str">
        <f t="shared" si="96"/>
        <v>2018-01</v>
      </c>
      <c r="Q109" s="153">
        <v>8492</v>
      </c>
      <c r="R109" s="153">
        <v>63675</v>
      </c>
      <c r="S109" s="153">
        <v>10000</v>
      </c>
      <c r="T109" s="153">
        <v>1481</v>
      </c>
      <c r="U109" s="153">
        <v>21</v>
      </c>
      <c r="V109" s="153">
        <v>215</v>
      </c>
      <c r="W109" s="153">
        <v>141</v>
      </c>
      <c r="X109" s="153">
        <v>240</v>
      </c>
      <c r="Y109" s="153">
        <v>8007</v>
      </c>
      <c r="Z109" s="153">
        <v>2286</v>
      </c>
      <c r="AA109" s="153">
        <v>5878</v>
      </c>
      <c r="AB109" s="153">
        <v>61134</v>
      </c>
      <c r="AC109" s="153">
        <v>1440</v>
      </c>
      <c r="AD109" s="153">
        <v>878</v>
      </c>
      <c r="AE109" s="153">
        <v>3960</v>
      </c>
      <c r="AF109" s="153">
        <v>1841</v>
      </c>
      <c r="AG109" s="153">
        <v>6062</v>
      </c>
      <c r="AH109" s="153">
        <v>9173</v>
      </c>
      <c r="AI109" s="76">
        <f t="shared" si="92"/>
        <v>184924</v>
      </c>
    </row>
    <row r="110" spans="1:35" ht="12.75">
      <c r="A110" s="143" t="str">
        <f t="shared" si="93"/>
        <v>2018-02</v>
      </c>
      <c r="B110" s="151">
        <f t="shared" si="81"/>
        <v>551</v>
      </c>
      <c r="C110" s="151">
        <f t="shared" si="82"/>
        <v>10044</v>
      </c>
      <c r="D110" s="151">
        <f t="shared" si="83"/>
        <v>23187</v>
      </c>
      <c r="E110" s="151">
        <f t="shared" si="84"/>
        <v>9972</v>
      </c>
      <c r="F110" s="151">
        <f t="shared" si="85"/>
        <v>1713</v>
      </c>
      <c r="G110" s="151">
        <f t="shared" si="94"/>
        <v>16569</v>
      </c>
      <c r="H110" s="151">
        <f t="shared" si="86"/>
        <v>45130</v>
      </c>
      <c r="I110" s="151">
        <f t="shared" si="95"/>
        <v>2707</v>
      </c>
      <c r="J110" s="151">
        <f t="shared" si="87"/>
        <v>3601</v>
      </c>
      <c r="K110" s="151">
        <f t="shared" si="88"/>
        <v>2054</v>
      </c>
      <c r="L110" s="151">
        <f t="shared" si="89"/>
        <v>8689</v>
      </c>
      <c r="M110" s="151">
        <f t="shared" si="90"/>
        <v>9832</v>
      </c>
      <c r="N110" s="151">
        <f t="shared" si="91"/>
        <v>134049</v>
      </c>
      <c r="P110" s="77" t="str">
        <f t="shared" si="96"/>
        <v>2018-02</v>
      </c>
      <c r="Q110" s="153">
        <v>10044</v>
      </c>
      <c r="R110" s="153">
        <v>23187</v>
      </c>
      <c r="S110" s="153">
        <v>9972</v>
      </c>
      <c r="T110" s="153">
        <v>1713</v>
      </c>
      <c r="U110" s="153">
        <v>27</v>
      </c>
      <c r="V110" s="153">
        <v>228</v>
      </c>
      <c r="W110" s="153">
        <v>95</v>
      </c>
      <c r="X110" s="153">
        <v>201</v>
      </c>
      <c r="Y110" s="153">
        <v>7933</v>
      </c>
      <c r="Z110" s="153">
        <v>2081</v>
      </c>
      <c r="AA110" s="153">
        <v>6555</v>
      </c>
      <c r="AB110" s="153">
        <v>45130</v>
      </c>
      <c r="AC110" s="153">
        <v>1759</v>
      </c>
      <c r="AD110" s="153">
        <v>948</v>
      </c>
      <c r="AE110" s="153">
        <v>3601</v>
      </c>
      <c r="AF110" s="153">
        <v>2054</v>
      </c>
      <c r="AG110" s="153">
        <v>8689</v>
      </c>
      <c r="AH110" s="153">
        <v>9832</v>
      </c>
      <c r="AI110" s="76">
        <f t="shared" si="92"/>
        <v>134049</v>
      </c>
    </row>
    <row r="111" spans="1:35" ht="12.75">
      <c r="A111" s="143" t="str">
        <f t="shared" si="93"/>
        <v>2018-03</v>
      </c>
      <c r="B111" s="151">
        <f t="shared" si="81"/>
        <v>619</v>
      </c>
      <c r="C111" s="151">
        <f t="shared" si="82"/>
        <v>11250</v>
      </c>
      <c r="D111" s="151">
        <f t="shared" si="83"/>
        <v>33383</v>
      </c>
      <c r="E111" s="151">
        <f t="shared" si="84"/>
        <v>10960</v>
      </c>
      <c r="F111" s="151">
        <f t="shared" si="85"/>
        <v>1677</v>
      </c>
      <c r="G111" s="151">
        <f t="shared" si="94"/>
        <v>20275</v>
      </c>
      <c r="H111" s="151">
        <f t="shared" si="86"/>
        <v>19791</v>
      </c>
      <c r="I111" s="151">
        <f t="shared" si="95"/>
        <v>2580</v>
      </c>
      <c r="J111" s="151">
        <f t="shared" si="87"/>
        <v>4742</v>
      </c>
      <c r="K111" s="151">
        <f t="shared" si="88"/>
        <v>2116</v>
      </c>
      <c r="L111" s="151">
        <f t="shared" si="89"/>
        <v>7570</v>
      </c>
      <c r="M111" s="151">
        <f t="shared" si="90"/>
        <v>11477</v>
      </c>
      <c r="N111" s="151">
        <f t="shared" si="91"/>
        <v>126440</v>
      </c>
      <c r="P111" s="77" t="str">
        <f t="shared" si="96"/>
        <v>2018-03</v>
      </c>
      <c r="Q111" s="153">
        <v>11250</v>
      </c>
      <c r="R111" s="153">
        <v>33383</v>
      </c>
      <c r="S111" s="153">
        <v>10960</v>
      </c>
      <c r="T111" s="153">
        <v>1677</v>
      </c>
      <c r="U111" s="153">
        <v>21</v>
      </c>
      <c r="V111" s="153">
        <v>257</v>
      </c>
      <c r="W111" s="153">
        <v>119</v>
      </c>
      <c r="X111" s="153">
        <v>222</v>
      </c>
      <c r="Y111" s="153">
        <v>9257</v>
      </c>
      <c r="Z111" s="153">
        <v>2719</v>
      </c>
      <c r="AA111" s="153">
        <v>8299</v>
      </c>
      <c r="AB111" s="153">
        <v>19791</v>
      </c>
      <c r="AC111" s="153">
        <v>1602</v>
      </c>
      <c r="AD111" s="153">
        <v>978</v>
      </c>
      <c r="AE111" s="153">
        <v>4742</v>
      </c>
      <c r="AF111" s="153">
        <v>2116</v>
      </c>
      <c r="AG111" s="153">
        <v>7570</v>
      </c>
      <c r="AH111" s="153">
        <v>11477</v>
      </c>
      <c r="AI111" s="76">
        <f t="shared" si="92"/>
        <v>126440</v>
      </c>
    </row>
    <row r="112" spans="1:35" ht="12.75">
      <c r="A112" s="143" t="str">
        <f t="shared" si="93"/>
        <v>2018-04</v>
      </c>
      <c r="B112" s="151">
        <f t="shared" si="81"/>
        <v>609</v>
      </c>
      <c r="C112" s="151">
        <f t="shared" si="82"/>
        <v>11794</v>
      </c>
      <c r="D112" s="151">
        <f t="shared" si="83"/>
        <v>65640</v>
      </c>
      <c r="E112" s="151">
        <f t="shared" si="84"/>
        <v>10425</v>
      </c>
      <c r="F112" s="151">
        <f t="shared" si="85"/>
        <v>1764</v>
      </c>
      <c r="G112" s="151">
        <f t="shared" si="94"/>
        <v>20439</v>
      </c>
      <c r="H112" s="151">
        <f t="shared" si="86"/>
        <v>2246</v>
      </c>
      <c r="I112" s="151">
        <f t="shared" si="95"/>
        <v>2151</v>
      </c>
      <c r="J112" s="151">
        <f t="shared" si="87"/>
        <v>4657</v>
      </c>
      <c r="K112" s="151">
        <f t="shared" si="88"/>
        <v>1913</v>
      </c>
      <c r="L112" s="151">
        <f t="shared" si="89"/>
        <v>7164</v>
      </c>
      <c r="M112" s="151">
        <f t="shared" si="90"/>
        <v>11955</v>
      </c>
      <c r="N112" s="151">
        <f t="shared" si="91"/>
        <v>140757</v>
      </c>
      <c r="P112" s="77" t="str">
        <f t="shared" si="96"/>
        <v>2018-04</v>
      </c>
      <c r="Q112" s="153">
        <v>11794</v>
      </c>
      <c r="R112" s="153">
        <v>65640</v>
      </c>
      <c r="S112" s="153">
        <v>10425</v>
      </c>
      <c r="T112" s="153">
        <v>1764</v>
      </c>
      <c r="U112" s="153">
        <v>18</v>
      </c>
      <c r="V112" s="153">
        <v>226</v>
      </c>
      <c r="W112" s="153">
        <v>131</v>
      </c>
      <c r="X112" s="153">
        <v>234</v>
      </c>
      <c r="Y112" s="153">
        <v>9540</v>
      </c>
      <c r="Z112" s="153">
        <v>2605</v>
      </c>
      <c r="AA112" s="153">
        <v>8294</v>
      </c>
      <c r="AB112" s="153">
        <v>2246</v>
      </c>
      <c r="AC112" s="153">
        <v>1231</v>
      </c>
      <c r="AD112" s="153">
        <v>920</v>
      </c>
      <c r="AE112" s="153">
        <v>4657</v>
      </c>
      <c r="AF112" s="153">
        <v>1913</v>
      </c>
      <c r="AG112" s="153">
        <v>7164</v>
      </c>
      <c r="AH112" s="153">
        <v>11955</v>
      </c>
      <c r="AI112" s="76">
        <f t="shared" si="92"/>
        <v>140757</v>
      </c>
    </row>
    <row r="113" spans="1:35" ht="12.75">
      <c r="A113" s="143" t="str">
        <f t="shared" si="93"/>
        <v>2018-05</v>
      </c>
      <c r="B113" s="151">
        <f t="shared" si="81"/>
        <v>661</v>
      </c>
      <c r="C113" s="151">
        <f t="shared" si="82"/>
        <v>13628</v>
      </c>
      <c r="D113" s="151">
        <f t="shared" si="83"/>
        <v>33124</v>
      </c>
      <c r="E113" s="151">
        <f t="shared" si="84"/>
        <v>11226</v>
      </c>
      <c r="F113" s="151">
        <f t="shared" si="85"/>
        <v>1933</v>
      </c>
      <c r="G113" s="151">
        <f t="shared" si="94"/>
        <v>20059</v>
      </c>
      <c r="H113" s="151">
        <f t="shared" si="86"/>
        <v>6660</v>
      </c>
      <c r="I113" s="151">
        <f t="shared" si="95"/>
        <v>2162</v>
      </c>
      <c r="J113" s="151">
        <f t="shared" si="87"/>
        <v>4389</v>
      </c>
      <c r="K113" s="151">
        <f t="shared" si="88"/>
        <v>1916</v>
      </c>
      <c r="L113" s="151">
        <f t="shared" si="89"/>
        <v>6906</v>
      </c>
      <c r="M113" s="151">
        <f t="shared" si="90"/>
        <v>11915</v>
      </c>
      <c r="N113" s="151">
        <f t="shared" si="91"/>
        <v>114579</v>
      </c>
      <c r="P113" s="77" t="str">
        <f t="shared" si="96"/>
        <v>2018-05</v>
      </c>
      <c r="Q113" s="153">
        <v>13628</v>
      </c>
      <c r="R113" s="153">
        <v>33124</v>
      </c>
      <c r="S113" s="153">
        <v>11226</v>
      </c>
      <c r="T113" s="153">
        <v>1933</v>
      </c>
      <c r="U113" s="153">
        <v>56</v>
      </c>
      <c r="V113" s="153">
        <v>251</v>
      </c>
      <c r="W113" s="153">
        <v>121</v>
      </c>
      <c r="X113" s="153">
        <v>233</v>
      </c>
      <c r="Y113" s="153">
        <v>9310</v>
      </c>
      <c r="Z113" s="153">
        <v>2773</v>
      </c>
      <c r="AA113" s="153">
        <v>7976</v>
      </c>
      <c r="AB113" s="153">
        <v>6660</v>
      </c>
      <c r="AC113" s="153">
        <v>1279</v>
      </c>
      <c r="AD113" s="153">
        <v>883</v>
      </c>
      <c r="AE113" s="153">
        <v>4389</v>
      </c>
      <c r="AF113" s="153">
        <v>1916</v>
      </c>
      <c r="AG113" s="153">
        <v>6906</v>
      </c>
      <c r="AH113" s="153">
        <v>11915</v>
      </c>
      <c r="AI113" s="76">
        <f t="shared" si="92"/>
        <v>114579</v>
      </c>
    </row>
    <row r="114" spans="1:35" ht="12.75">
      <c r="A114" s="143" t="str">
        <f t="shared" si="93"/>
        <v>2018-06</v>
      </c>
      <c r="B114" s="151">
        <f t="shared" si="81"/>
        <v>721</v>
      </c>
      <c r="C114" s="151">
        <f t="shared" si="82"/>
        <v>9983</v>
      </c>
      <c r="D114" s="151">
        <f t="shared" si="83"/>
        <v>30183</v>
      </c>
      <c r="E114" s="151">
        <f t="shared" si="84"/>
        <v>9413</v>
      </c>
      <c r="F114" s="151">
        <f t="shared" si="85"/>
        <v>1195</v>
      </c>
      <c r="G114" s="151">
        <f t="shared" si="94"/>
        <v>15728</v>
      </c>
      <c r="H114" s="151">
        <f t="shared" si="86"/>
        <v>7827</v>
      </c>
      <c r="I114" s="151">
        <f t="shared" si="95"/>
        <v>1946</v>
      </c>
      <c r="J114" s="151">
        <f t="shared" si="87"/>
        <v>3489</v>
      </c>
      <c r="K114" s="151">
        <f t="shared" si="88"/>
        <v>1577</v>
      </c>
      <c r="L114" s="151">
        <f t="shared" si="89"/>
        <v>5584</v>
      </c>
      <c r="M114" s="151">
        <f t="shared" si="90"/>
        <v>9750</v>
      </c>
      <c r="N114" s="151">
        <f t="shared" si="91"/>
        <v>97396</v>
      </c>
      <c r="P114" s="77" t="str">
        <f t="shared" si="96"/>
        <v>2018-06</v>
      </c>
      <c r="Q114" s="153">
        <v>9983</v>
      </c>
      <c r="R114" s="153">
        <v>30183</v>
      </c>
      <c r="S114" s="153">
        <v>9413</v>
      </c>
      <c r="T114" s="153">
        <v>1195</v>
      </c>
      <c r="U114" s="153">
        <v>16</v>
      </c>
      <c r="V114" s="153">
        <v>379</v>
      </c>
      <c r="W114" s="153">
        <v>112</v>
      </c>
      <c r="X114" s="153">
        <v>214</v>
      </c>
      <c r="Y114" s="153">
        <v>7992</v>
      </c>
      <c r="Z114" s="153">
        <v>1847</v>
      </c>
      <c r="AA114" s="153">
        <v>5889</v>
      </c>
      <c r="AB114" s="153">
        <v>7827</v>
      </c>
      <c r="AC114" s="153">
        <v>1146</v>
      </c>
      <c r="AD114" s="153">
        <v>800</v>
      </c>
      <c r="AE114" s="153">
        <v>3489</v>
      </c>
      <c r="AF114" s="153">
        <v>1577</v>
      </c>
      <c r="AG114" s="153">
        <v>5584</v>
      </c>
      <c r="AH114" s="153">
        <v>9750</v>
      </c>
      <c r="AI114" s="76">
        <f t="shared" si="92"/>
        <v>97396</v>
      </c>
    </row>
    <row r="115" spans="1:35" ht="12.75">
      <c r="A115" s="143" t="str">
        <f t="shared" si="93"/>
        <v>2018-07</v>
      </c>
      <c r="B115" s="151">
        <f t="shared" si="81"/>
        <v>609</v>
      </c>
      <c r="C115" s="151">
        <f t="shared" si="82"/>
        <v>11104</v>
      </c>
      <c r="D115" s="151">
        <f t="shared" si="83"/>
        <v>30194</v>
      </c>
      <c r="E115" s="151">
        <f t="shared" si="84"/>
        <v>8764</v>
      </c>
      <c r="F115" s="151">
        <f t="shared" si="85"/>
        <v>1545</v>
      </c>
      <c r="G115" s="151">
        <f t="shared" si="94"/>
        <v>106319</v>
      </c>
      <c r="H115" s="151">
        <f t="shared" si="86"/>
        <v>17784</v>
      </c>
      <c r="I115" s="151">
        <f t="shared" si="95"/>
        <v>1821</v>
      </c>
      <c r="J115" s="151">
        <f t="shared" si="87"/>
        <v>3630</v>
      </c>
      <c r="K115" s="151">
        <f t="shared" si="88"/>
        <v>1511</v>
      </c>
      <c r="L115" s="151">
        <f t="shared" si="89"/>
        <v>5003</v>
      </c>
      <c r="M115" s="151">
        <f t="shared" si="90"/>
        <v>9984</v>
      </c>
      <c r="N115" s="151">
        <f t="shared" si="91"/>
        <v>198268</v>
      </c>
      <c r="P115" s="77" t="str">
        <f t="shared" si="96"/>
        <v>2018-07</v>
      </c>
      <c r="Q115" s="153">
        <v>11104</v>
      </c>
      <c r="R115" s="153">
        <v>30194</v>
      </c>
      <c r="S115" s="153">
        <v>8764</v>
      </c>
      <c r="T115" s="153">
        <v>1545</v>
      </c>
      <c r="U115" s="153">
        <v>13</v>
      </c>
      <c r="V115" s="153">
        <v>271</v>
      </c>
      <c r="W115" s="153">
        <v>123</v>
      </c>
      <c r="X115" s="153">
        <v>202</v>
      </c>
      <c r="Y115" s="153">
        <v>98479</v>
      </c>
      <c r="Z115" s="153">
        <v>1863</v>
      </c>
      <c r="AA115" s="153">
        <v>5977</v>
      </c>
      <c r="AB115" s="153">
        <v>17784</v>
      </c>
      <c r="AC115" s="153">
        <v>1139</v>
      </c>
      <c r="AD115" s="153">
        <v>682</v>
      </c>
      <c r="AE115" s="153">
        <v>3630</v>
      </c>
      <c r="AF115" s="153">
        <v>1511</v>
      </c>
      <c r="AG115" s="153">
        <v>5003</v>
      </c>
      <c r="AH115" s="153">
        <v>9984</v>
      </c>
      <c r="AI115" s="76">
        <f t="shared" si="92"/>
        <v>198268</v>
      </c>
    </row>
    <row r="116" spans="1:35" ht="12.75">
      <c r="A116" s="143" t="str">
        <f t="shared" si="93"/>
        <v>2018-08</v>
      </c>
      <c r="B116" s="151">
        <f t="shared" si="81"/>
        <v>669</v>
      </c>
      <c r="C116" s="151">
        <f t="shared" si="82"/>
        <v>13058</v>
      </c>
      <c r="D116" s="151">
        <f t="shared" si="83"/>
        <v>29076</v>
      </c>
      <c r="E116" s="151">
        <f t="shared" si="84"/>
        <v>8938</v>
      </c>
      <c r="F116" s="151">
        <f t="shared" si="85"/>
        <v>1728</v>
      </c>
      <c r="G116" s="151">
        <f t="shared" si="94"/>
        <v>135962</v>
      </c>
      <c r="H116" s="151">
        <f t="shared" si="86"/>
        <v>7221</v>
      </c>
      <c r="I116" s="151">
        <f t="shared" si="95"/>
        <v>1890</v>
      </c>
      <c r="J116" s="151">
        <f t="shared" si="87"/>
        <v>3964</v>
      </c>
      <c r="K116" s="151">
        <f t="shared" si="88"/>
        <v>1540</v>
      </c>
      <c r="L116" s="151">
        <f t="shared" si="89"/>
        <v>5343</v>
      </c>
      <c r="M116" s="151">
        <f t="shared" si="90"/>
        <v>9605</v>
      </c>
      <c r="N116" s="151">
        <f t="shared" si="91"/>
        <v>218994</v>
      </c>
      <c r="P116" s="77" t="str">
        <f t="shared" si="96"/>
        <v>2018-08</v>
      </c>
      <c r="Q116" s="153">
        <v>13058</v>
      </c>
      <c r="R116" s="153">
        <v>29076</v>
      </c>
      <c r="S116" s="153">
        <v>8938</v>
      </c>
      <c r="T116" s="153">
        <v>1728</v>
      </c>
      <c r="U116" s="153">
        <v>24</v>
      </c>
      <c r="V116" s="153">
        <v>330</v>
      </c>
      <c r="W116" s="153">
        <v>82</v>
      </c>
      <c r="X116" s="153">
        <v>233</v>
      </c>
      <c r="Y116" s="153">
        <v>128120</v>
      </c>
      <c r="Z116" s="153">
        <v>1895</v>
      </c>
      <c r="AA116" s="153">
        <v>5947</v>
      </c>
      <c r="AB116" s="153">
        <v>7221</v>
      </c>
      <c r="AC116" s="153">
        <v>1175</v>
      </c>
      <c r="AD116" s="153">
        <v>715</v>
      </c>
      <c r="AE116" s="153">
        <v>3964</v>
      </c>
      <c r="AF116" s="153">
        <v>1540</v>
      </c>
      <c r="AG116" s="153">
        <v>5343</v>
      </c>
      <c r="AH116" s="153">
        <v>9605</v>
      </c>
      <c r="AI116" s="76">
        <f t="shared" si="92"/>
        <v>218994</v>
      </c>
    </row>
    <row r="117" spans="1:35" ht="12.75">
      <c r="A117" s="143" t="str">
        <f t="shared" si="93"/>
        <v>2018-09</v>
      </c>
      <c r="B117" s="151">
        <f t="shared" si="81"/>
        <v>613</v>
      </c>
      <c r="C117" s="151">
        <f t="shared" si="82"/>
        <v>12450</v>
      </c>
      <c r="D117" s="151">
        <f t="shared" si="83"/>
        <v>29313</v>
      </c>
      <c r="E117" s="151">
        <f t="shared" si="84"/>
        <v>10010</v>
      </c>
      <c r="F117" s="151">
        <f t="shared" si="85"/>
        <v>2385</v>
      </c>
      <c r="G117" s="151">
        <f t="shared" si="94"/>
        <v>47313</v>
      </c>
      <c r="H117" s="151">
        <f t="shared" si="86"/>
        <v>8300</v>
      </c>
      <c r="I117" s="151">
        <f t="shared" si="95"/>
        <v>1807</v>
      </c>
      <c r="J117" s="151">
        <f t="shared" si="87"/>
        <v>4596</v>
      </c>
      <c r="K117" s="151">
        <f t="shared" si="88"/>
        <v>1690</v>
      </c>
      <c r="L117" s="151">
        <f t="shared" si="89"/>
        <v>5888</v>
      </c>
      <c r="M117" s="151">
        <f t="shared" si="90"/>
        <v>9916</v>
      </c>
      <c r="N117" s="151">
        <f t="shared" si="91"/>
        <v>134281</v>
      </c>
      <c r="P117" s="77" t="str">
        <f t="shared" si="96"/>
        <v>2018-09</v>
      </c>
      <c r="Q117" s="153">
        <v>12450</v>
      </c>
      <c r="R117" s="153">
        <v>29313</v>
      </c>
      <c r="S117" s="153">
        <v>10010</v>
      </c>
      <c r="T117" s="153">
        <v>2385</v>
      </c>
      <c r="U117" s="153">
        <v>53</v>
      </c>
      <c r="V117" s="153">
        <v>235</v>
      </c>
      <c r="W117" s="153">
        <v>117</v>
      </c>
      <c r="X117" s="153">
        <v>208</v>
      </c>
      <c r="Y117" s="153">
        <v>38127</v>
      </c>
      <c r="Z117" s="153">
        <v>1853</v>
      </c>
      <c r="AA117" s="153">
        <v>7333</v>
      </c>
      <c r="AB117" s="153">
        <v>8300</v>
      </c>
      <c r="AC117" s="153">
        <v>1096</v>
      </c>
      <c r="AD117" s="153">
        <v>711</v>
      </c>
      <c r="AE117" s="153">
        <v>4596</v>
      </c>
      <c r="AF117" s="153">
        <v>1690</v>
      </c>
      <c r="AG117" s="153">
        <v>5888</v>
      </c>
      <c r="AH117" s="153">
        <v>9916</v>
      </c>
      <c r="AI117" s="76">
        <f t="shared" si="92"/>
        <v>134281</v>
      </c>
    </row>
    <row r="118" spans="1:35" ht="12.75">
      <c r="A118" s="144" t="s">
        <v>19</v>
      </c>
      <c r="B118" s="151">
        <f>SUM(B106:B117)</f>
        <v>7332</v>
      </c>
      <c r="C118" s="151">
        <f aca="true" t="shared" si="97" ref="C118:M118">SUM(C106:C117)</f>
        <v>132328</v>
      </c>
      <c r="D118" s="151">
        <f t="shared" si="97"/>
        <v>520714</v>
      </c>
      <c r="E118" s="151">
        <f t="shared" si="97"/>
        <v>119921</v>
      </c>
      <c r="F118" s="151">
        <f t="shared" si="97"/>
        <v>20241</v>
      </c>
      <c r="G118" s="151">
        <f t="shared" si="94"/>
        <v>449710</v>
      </c>
      <c r="H118" s="151">
        <f t="shared" si="97"/>
        <v>1100755</v>
      </c>
      <c r="I118" s="151">
        <f t="shared" si="95"/>
        <v>26324</v>
      </c>
      <c r="J118" s="151">
        <f t="shared" si="97"/>
        <v>63650</v>
      </c>
      <c r="K118" s="151">
        <f t="shared" si="97"/>
        <v>20334</v>
      </c>
      <c r="L118" s="151">
        <f t="shared" si="97"/>
        <v>80015</v>
      </c>
      <c r="M118" s="151">
        <f t="shared" si="97"/>
        <v>120302</v>
      </c>
      <c r="N118" s="151">
        <f t="shared" si="91"/>
        <v>2661626</v>
      </c>
      <c r="P118" s="76" t="s">
        <v>19</v>
      </c>
      <c r="Q118" s="76">
        <f>SUM(Q106:Q117)</f>
        <v>132328</v>
      </c>
      <c r="R118" s="76">
        <f aca="true" t="shared" si="98" ref="R118:AI118">SUM(R106:R117)</f>
        <v>520714</v>
      </c>
      <c r="S118" s="76">
        <f t="shared" si="98"/>
        <v>119921</v>
      </c>
      <c r="T118" s="76">
        <f t="shared" si="98"/>
        <v>20241</v>
      </c>
      <c r="U118" s="76">
        <f t="shared" si="98"/>
        <v>339</v>
      </c>
      <c r="V118" s="76">
        <f t="shared" si="98"/>
        <v>2962</v>
      </c>
      <c r="W118" s="76">
        <f t="shared" si="98"/>
        <v>1448</v>
      </c>
      <c r="X118" s="76">
        <f t="shared" si="98"/>
        <v>2583</v>
      </c>
      <c r="Y118" s="76">
        <f t="shared" si="98"/>
        <v>340117</v>
      </c>
      <c r="Z118" s="76">
        <f t="shared" si="98"/>
        <v>26907</v>
      </c>
      <c r="AA118" s="76">
        <f t="shared" si="98"/>
        <v>82686</v>
      </c>
      <c r="AB118" s="76">
        <f t="shared" si="98"/>
        <v>1100755</v>
      </c>
      <c r="AC118" s="76">
        <f t="shared" si="98"/>
        <v>15898</v>
      </c>
      <c r="AD118" s="76">
        <f t="shared" si="98"/>
        <v>10426</v>
      </c>
      <c r="AE118" s="76">
        <f t="shared" si="98"/>
        <v>63650</v>
      </c>
      <c r="AF118" s="76">
        <f t="shared" si="98"/>
        <v>20334</v>
      </c>
      <c r="AG118" s="76">
        <f t="shared" si="98"/>
        <v>80015</v>
      </c>
      <c r="AH118" s="76">
        <f t="shared" si="98"/>
        <v>120302</v>
      </c>
      <c r="AI118" s="76">
        <f t="shared" si="98"/>
        <v>2661626</v>
      </c>
    </row>
    <row r="119" spans="1:14" ht="12.75">
      <c r="A119" s="12" t="s">
        <v>36</v>
      </c>
      <c r="B119" s="152">
        <f>AVERAGE(B106:B117)</f>
        <v>611</v>
      </c>
      <c r="C119" s="152">
        <f aca="true" t="shared" si="99" ref="C119:M119">AVERAGE(C106:C117)</f>
        <v>11027.333333333334</v>
      </c>
      <c r="D119" s="152">
        <f t="shared" si="99"/>
        <v>43392.833333333336</v>
      </c>
      <c r="E119" s="152">
        <f t="shared" si="99"/>
        <v>9993.416666666666</v>
      </c>
      <c r="F119" s="152">
        <f t="shared" si="99"/>
        <v>1686.75</v>
      </c>
      <c r="G119" s="152">
        <f t="shared" si="99"/>
        <v>37475.833333333336</v>
      </c>
      <c r="H119" s="152">
        <f t="shared" si="99"/>
        <v>91729.58333333333</v>
      </c>
      <c r="I119" s="152">
        <f t="shared" si="99"/>
        <v>2193.6666666666665</v>
      </c>
      <c r="J119" s="152">
        <f t="shared" si="99"/>
        <v>5304.166666666667</v>
      </c>
      <c r="K119" s="152">
        <f t="shared" si="99"/>
        <v>1694.5</v>
      </c>
      <c r="L119" s="152">
        <f t="shared" si="99"/>
        <v>6667.916666666667</v>
      </c>
      <c r="M119" s="152">
        <f t="shared" si="99"/>
        <v>10025.166666666666</v>
      </c>
      <c r="N119" s="22"/>
    </row>
    <row r="120" spans="1:15" ht="12.75">
      <c r="A120" s="75" t="s">
        <v>132</v>
      </c>
      <c r="B120" s="242">
        <v>4210</v>
      </c>
      <c r="C120" s="242">
        <v>90043</v>
      </c>
      <c r="D120" s="242">
        <v>404859</v>
      </c>
      <c r="E120" s="242">
        <v>77498</v>
      </c>
      <c r="F120" s="242">
        <v>14460</v>
      </c>
      <c r="G120" s="242">
        <v>353068</v>
      </c>
      <c r="H120" s="242">
        <v>1045681</v>
      </c>
      <c r="I120" s="242">
        <v>16951</v>
      </c>
      <c r="J120" s="242">
        <v>47937</v>
      </c>
      <c r="K120" s="242">
        <v>13855</v>
      </c>
      <c r="L120" s="242">
        <v>61971</v>
      </c>
      <c r="M120" s="242">
        <v>96918</v>
      </c>
      <c r="N120" s="151">
        <f>SUM(B120:M120)</f>
        <v>2227451</v>
      </c>
      <c r="O120" s="38" t="s">
        <v>111</v>
      </c>
    </row>
    <row r="121" spans="1:15" ht="12.75">
      <c r="A121" s="75" t="s">
        <v>133</v>
      </c>
      <c r="B121" s="242">
        <v>4698</v>
      </c>
      <c r="C121" s="242">
        <v>53604</v>
      </c>
      <c r="D121" s="242">
        <v>262451</v>
      </c>
      <c r="E121" s="242">
        <v>108812</v>
      </c>
      <c r="F121" s="242">
        <v>6844</v>
      </c>
      <c r="G121" s="242">
        <v>140461</v>
      </c>
      <c r="H121" s="242">
        <v>226661</v>
      </c>
      <c r="I121" s="242">
        <v>36012</v>
      </c>
      <c r="J121" s="242">
        <v>34716</v>
      </c>
      <c r="K121" s="242">
        <v>16006</v>
      </c>
      <c r="L121" s="242">
        <v>57284</v>
      </c>
      <c r="M121" s="242">
        <v>368768</v>
      </c>
      <c r="N121" s="151">
        <f>SUM(B121:M121)</f>
        <v>1316317</v>
      </c>
      <c r="O121" s="38" t="s">
        <v>111</v>
      </c>
    </row>
    <row r="123" spans="2:13" ht="12.75">
      <c r="B123" s="345" t="s">
        <v>37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</row>
    <row r="124" spans="1:13" ht="26.25">
      <c r="A124" s="180" t="s">
        <v>20</v>
      </c>
      <c r="B124" s="181" t="s">
        <v>7</v>
      </c>
      <c r="C124" s="181" t="s">
        <v>8</v>
      </c>
      <c r="D124" s="181" t="s">
        <v>9</v>
      </c>
      <c r="E124" s="181" t="s">
        <v>10</v>
      </c>
      <c r="F124" s="181" t="s">
        <v>11</v>
      </c>
      <c r="G124" s="182" t="s">
        <v>18</v>
      </c>
      <c r="H124" s="183" t="s">
        <v>177</v>
      </c>
      <c r="I124" s="182" t="s">
        <v>12</v>
      </c>
      <c r="J124" s="182" t="s">
        <v>23</v>
      </c>
      <c r="K124" s="182" t="s">
        <v>13</v>
      </c>
      <c r="L124" s="182" t="s">
        <v>16</v>
      </c>
      <c r="M124" s="182" t="s">
        <v>14</v>
      </c>
    </row>
    <row r="125" spans="1:15" ht="12.75">
      <c r="A125" s="228">
        <f>A89</f>
        <v>43009</v>
      </c>
      <c r="B125" s="233">
        <f>B106-B$119</f>
        <v>-143</v>
      </c>
      <c r="C125" s="233">
        <f aca="true" t="shared" si="100" ref="C125:M125">C106-C$119</f>
        <v>-551.3333333333339</v>
      </c>
      <c r="D125" s="233">
        <f t="shared" si="100"/>
        <v>-6121.833333333336</v>
      </c>
      <c r="E125" s="233">
        <f t="shared" si="100"/>
        <v>643.5833333333339</v>
      </c>
      <c r="F125" s="233">
        <f t="shared" si="100"/>
        <v>64.25</v>
      </c>
      <c r="G125" s="233">
        <f t="shared" si="100"/>
        <v>-19448.833333333336</v>
      </c>
      <c r="H125" s="233">
        <f t="shared" si="100"/>
        <v>-79023.58333333333</v>
      </c>
      <c r="I125" s="233">
        <f t="shared" si="100"/>
        <v>99.33333333333348</v>
      </c>
      <c r="J125" s="233">
        <f t="shared" si="100"/>
        <v>12530.833333333332</v>
      </c>
      <c r="K125" s="233">
        <f t="shared" si="100"/>
        <v>-188.5</v>
      </c>
      <c r="L125" s="233">
        <f t="shared" si="100"/>
        <v>1548.083333333333</v>
      </c>
      <c r="M125" s="233">
        <f t="shared" si="100"/>
        <v>-878.1666666666661</v>
      </c>
      <c r="N125" s="14"/>
      <c r="O125" s="14"/>
    </row>
    <row r="126" spans="1:13" ht="12.75">
      <c r="A126" s="228">
        <f aca="true" t="shared" si="101" ref="A126:A136">A90</f>
        <v>43040</v>
      </c>
      <c r="B126" s="233">
        <f aca="true" t="shared" si="102" ref="B126:M126">B107-B$119</f>
        <v>-6</v>
      </c>
      <c r="C126" s="233">
        <f t="shared" si="102"/>
        <v>298.66666666666606</v>
      </c>
      <c r="D126" s="233">
        <f t="shared" si="102"/>
        <v>43992.166666666664</v>
      </c>
      <c r="E126" s="233">
        <f t="shared" si="102"/>
        <v>593.5833333333339</v>
      </c>
      <c r="F126" s="233">
        <f t="shared" si="102"/>
        <v>-148.75</v>
      </c>
      <c r="G126" s="233">
        <f t="shared" si="102"/>
        <v>-19397.833333333336</v>
      </c>
      <c r="H126" s="233">
        <f t="shared" si="102"/>
        <v>605530.4166666666</v>
      </c>
      <c r="I126" s="233">
        <f t="shared" si="102"/>
        <v>296.3333333333335</v>
      </c>
      <c r="J126" s="233">
        <f t="shared" si="102"/>
        <v>-778.166666666667</v>
      </c>
      <c r="K126" s="233">
        <f t="shared" si="102"/>
        <v>-161.5</v>
      </c>
      <c r="L126" s="233">
        <f t="shared" si="102"/>
        <v>857.083333333333</v>
      </c>
      <c r="M126" s="233">
        <f t="shared" si="102"/>
        <v>-271.16666666666606</v>
      </c>
    </row>
    <row r="127" spans="1:13" ht="12.75">
      <c r="A127" s="228">
        <f t="shared" si="101"/>
        <v>43070</v>
      </c>
      <c r="B127" s="233">
        <f aca="true" t="shared" si="103" ref="B127:M127">B108-B$119</f>
        <v>-21</v>
      </c>
      <c r="C127" s="233">
        <f t="shared" si="103"/>
        <v>-2304.333333333334</v>
      </c>
      <c r="D127" s="233">
        <f t="shared" si="103"/>
        <v>14890.166666666664</v>
      </c>
      <c r="E127" s="233">
        <f t="shared" si="103"/>
        <v>-1004.4166666666661</v>
      </c>
      <c r="F127" s="233">
        <f t="shared" si="103"/>
        <v>-155.75</v>
      </c>
      <c r="G127" s="233">
        <f t="shared" si="103"/>
        <v>-22705.833333333336</v>
      </c>
      <c r="H127" s="233">
        <f t="shared" si="103"/>
        <v>122966.41666666667</v>
      </c>
      <c r="I127" s="233">
        <f t="shared" si="103"/>
        <v>-34.666666666666515</v>
      </c>
      <c r="J127" s="233">
        <f t="shared" si="103"/>
        <v>-1043.166666666667</v>
      </c>
      <c r="K127" s="233">
        <f t="shared" si="103"/>
        <v>-557.5</v>
      </c>
      <c r="L127" s="233">
        <f t="shared" si="103"/>
        <v>-602.916666666667</v>
      </c>
      <c r="M127" s="233">
        <f t="shared" si="103"/>
        <v>-2231.166666666666</v>
      </c>
    </row>
    <row r="128" spans="1:13" ht="12.75">
      <c r="A128" s="228">
        <f t="shared" si="101"/>
        <v>43101</v>
      </c>
      <c r="B128" s="233">
        <f aca="true" t="shared" si="104" ref="B128:M128">B109-B$119</f>
        <v>6</v>
      </c>
      <c r="C128" s="233">
        <f t="shared" si="104"/>
        <v>-2535.333333333334</v>
      </c>
      <c r="D128" s="233">
        <f t="shared" si="104"/>
        <v>20282.166666666664</v>
      </c>
      <c r="E128" s="233">
        <f t="shared" si="104"/>
        <v>6.58333333333394</v>
      </c>
      <c r="F128" s="233">
        <f t="shared" si="104"/>
        <v>-205.75</v>
      </c>
      <c r="G128" s="233">
        <f t="shared" si="104"/>
        <v>-21304.833333333336</v>
      </c>
      <c r="H128" s="233">
        <f t="shared" si="104"/>
        <v>-30595.58333333333</v>
      </c>
      <c r="I128" s="233">
        <f t="shared" si="104"/>
        <v>124.33333333333348</v>
      </c>
      <c r="J128" s="233">
        <f t="shared" si="104"/>
        <v>-1344.166666666667</v>
      </c>
      <c r="K128" s="233">
        <f t="shared" si="104"/>
        <v>146.5</v>
      </c>
      <c r="L128" s="233">
        <f t="shared" si="104"/>
        <v>-605.916666666667</v>
      </c>
      <c r="M128" s="233">
        <f t="shared" si="104"/>
        <v>-852.1666666666661</v>
      </c>
    </row>
    <row r="129" spans="1:13" ht="12.75">
      <c r="A129" s="228">
        <f t="shared" si="101"/>
        <v>43132</v>
      </c>
      <c r="B129" s="233">
        <f aca="true" t="shared" si="105" ref="B129:M129">B110-B$119</f>
        <v>-60</v>
      </c>
      <c r="C129" s="233">
        <f t="shared" si="105"/>
        <v>-983.3333333333339</v>
      </c>
      <c r="D129" s="233">
        <f t="shared" si="105"/>
        <v>-20205.833333333336</v>
      </c>
      <c r="E129" s="233">
        <f t="shared" si="105"/>
        <v>-21.41666666666606</v>
      </c>
      <c r="F129" s="233">
        <f t="shared" si="105"/>
        <v>26.25</v>
      </c>
      <c r="G129" s="233">
        <f t="shared" si="105"/>
        <v>-20906.833333333336</v>
      </c>
      <c r="H129" s="233">
        <f t="shared" si="105"/>
        <v>-46599.58333333333</v>
      </c>
      <c r="I129" s="233">
        <f t="shared" si="105"/>
        <v>513.3333333333335</v>
      </c>
      <c r="J129" s="233">
        <f t="shared" si="105"/>
        <v>-1703.166666666667</v>
      </c>
      <c r="K129" s="233">
        <f t="shared" si="105"/>
        <v>359.5</v>
      </c>
      <c r="L129" s="233">
        <f t="shared" si="105"/>
        <v>2021.083333333333</v>
      </c>
      <c r="M129" s="233">
        <f t="shared" si="105"/>
        <v>-193.16666666666606</v>
      </c>
    </row>
    <row r="130" spans="1:13" ht="12.75">
      <c r="A130" s="228">
        <f t="shared" si="101"/>
        <v>43160</v>
      </c>
      <c r="B130" s="233">
        <f aca="true" t="shared" si="106" ref="B130:M130">B111-B$119</f>
        <v>8</v>
      </c>
      <c r="C130" s="233">
        <f t="shared" si="106"/>
        <v>222.66666666666606</v>
      </c>
      <c r="D130" s="233">
        <f t="shared" si="106"/>
        <v>-10009.833333333336</v>
      </c>
      <c r="E130" s="233">
        <f t="shared" si="106"/>
        <v>966.5833333333339</v>
      </c>
      <c r="F130" s="233">
        <f t="shared" si="106"/>
        <v>-9.75</v>
      </c>
      <c r="G130" s="233">
        <f t="shared" si="106"/>
        <v>-17200.833333333336</v>
      </c>
      <c r="H130" s="233">
        <f t="shared" si="106"/>
        <v>-71938.58333333333</v>
      </c>
      <c r="I130" s="233">
        <f t="shared" si="106"/>
        <v>386.3333333333335</v>
      </c>
      <c r="J130" s="233">
        <f t="shared" si="106"/>
        <v>-562.166666666667</v>
      </c>
      <c r="K130" s="233">
        <f t="shared" si="106"/>
        <v>421.5</v>
      </c>
      <c r="L130" s="233">
        <f t="shared" si="106"/>
        <v>902.083333333333</v>
      </c>
      <c r="M130" s="233">
        <f t="shared" si="106"/>
        <v>1451.833333333334</v>
      </c>
    </row>
    <row r="131" spans="1:13" ht="12.75">
      <c r="A131" s="228">
        <f t="shared" si="101"/>
        <v>43191</v>
      </c>
      <c r="B131" s="233">
        <f aca="true" t="shared" si="107" ref="B131:M131">B112-B$119</f>
        <v>-2</v>
      </c>
      <c r="C131" s="233">
        <f t="shared" si="107"/>
        <v>766.6666666666661</v>
      </c>
      <c r="D131" s="233">
        <f t="shared" si="107"/>
        <v>22247.166666666664</v>
      </c>
      <c r="E131" s="233">
        <f t="shared" si="107"/>
        <v>431.58333333333394</v>
      </c>
      <c r="F131" s="233">
        <f t="shared" si="107"/>
        <v>77.25</v>
      </c>
      <c r="G131" s="233">
        <f t="shared" si="107"/>
        <v>-17036.833333333336</v>
      </c>
      <c r="H131" s="233">
        <f t="shared" si="107"/>
        <v>-89483.58333333333</v>
      </c>
      <c r="I131" s="233">
        <f t="shared" si="107"/>
        <v>-42.666666666666515</v>
      </c>
      <c r="J131" s="233">
        <f t="shared" si="107"/>
        <v>-647.166666666667</v>
      </c>
      <c r="K131" s="233">
        <f t="shared" si="107"/>
        <v>218.5</v>
      </c>
      <c r="L131" s="233">
        <f t="shared" si="107"/>
        <v>496.08333333333303</v>
      </c>
      <c r="M131" s="233">
        <f t="shared" si="107"/>
        <v>1929.833333333334</v>
      </c>
    </row>
    <row r="132" spans="1:13" ht="12.75">
      <c r="A132" s="228">
        <f t="shared" si="101"/>
        <v>43221</v>
      </c>
      <c r="B132" s="233">
        <f aca="true" t="shared" si="108" ref="B132:M132">B113-B$119</f>
        <v>50</v>
      </c>
      <c r="C132" s="233">
        <f t="shared" si="108"/>
        <v>2600.666666666666</v>
      </c>
      <c r="D132" s="233">
        <f t="shared" si="108"/>
        <v>-10268.833333333336</v>
      </c>
      <c r="E132" s="233">
        <f t="shared" si="108"/>
        <v>1232.583333333334</v>
      </c>
      <c r="F132" s="233">
        <f t="shared" si="108"/>
        <v>246.25</v>
      </c>
      <c r="G132" s="233">
        <f t="shared" si="108"/>
        <v>-17416.833333333336</v>
      </c>
      <c r="H132" s="233">
        <f t="shared" si="108"/>
        <v>-85069.58333333333</v>
      </c>
      <c r="I132" s="233">
        <f t="shared" si="108"/>
        <v>-31.666666666666515</v>
      </c>
      <c r="J132" s="233">
        <f t="shared" si="108"/>
        <v>-915.166666666667</v>
      </c>
      <c r="K132" s="233">
        <f t="shared" si="108"/>
        <v>221.5</v>
      </c>
      <c r="L132" s="233">
        <f t="shared" si="108"/>
        <v>238.08333333333303</v>
      </c>
      <c r="M132" s="233">
        <f t="shared" si="108"/>
        <v>1889.833333333334</v>
      </c>
    </row>
    <row r="133" spans="1:13" ht="12.75">
      <c r="A133" s="228">
        <f t="shared" si="101"/>
        <v>43252</v>
      </c>
      <c r="B133" s="233">
        <f aca="true" t="shared" si="109" ref="B133:M133">B114-B$119</f>
        <v>110</v>
      </c>
      <c r="C133" s="233">
        <f t="shared" si="109"/>
        <v>-1044.333333333334</v>
      </c>
      <c r="D133" s="233">
        <f t="shared" si="109"/>
        <v>-13209.833333333336</v>
      </c>
      <c r="E133" s="233">
        <f t="shared" si="109"/>
        <v>-580.4166666666661</v>
      </c>
      <c r="F133" s="233">
        <f t="shared" si="109"/>
        <v>-491.75</v>
      </c>
      <c r="G133" s="233">
        <f t="shared" si="109"/>
        <v>-21747.833333333336</v>
      </c>
      <c r="H133" s="233">
        <f t="shared" si="109"/>
        <v>-83902.58333333333</v>
      </c>
      <c r="I133" s="233">
        <f t="shared" si="109"/>
        <v>-247.66666666666652</v>
      </c>
      <c r="J133" s="233">
        <f t="shared" si="109"/>
        <v>-1815.166666666667</v>
      </c>
      <c r="K133" s="233">
        <f t="shared" si="109"/>
        <v>-117.5</v>
      </c>
      <c r="L133" s="233">
        <f t="shared" si="109"/>
        <v>-1083.916666666667</v>
      </c>
      <c r="M133" s="233">
        <f t="shared" si="109"/>
        <v>-275.16666666666606</v>
      </c>
    </row>
    <row r="134" spans="1:13" ht="12.75">
      <c r="A134" s="228">
        <f t="shared" si="101"/>
        <v>43282</v>
      </c>
      <c r="B134" s="233">
        <f aca="true" t="shared" si="110" ref="B134:M134">B115-B$119</f>
        <v>-2</v>
      </c>
      <c r="C134" s="233">
        <f t="shared" si="110"/>
        <v>76.66666666666606</v>
      </c>
      <c r="D134" s="233">
        <f t="shared" si="110"/>
        <v>-13198.833333333336</v>
      </c>
      <c r="E134" s="233">
        <f t="shared" si="110"/>
        <v>-1229.416666666666</v>
      </c>
      <c r="F134" s="233">
        <f t="shared" si="110"/>
        <v>-141.75</v>
      </c>
      <c r="G134" s="233">
        <f t="shared" si="110"/>
        <v>68843.16666666666</v>
      </c>
      <c r="H134" s="233">
        <f t="shared" si="110"/>
        <v>-73945.58333333333</v>
      </c>
      <c r="I134" s="233">
        <f t="shared" si="110"/>
        <v>-372.6666666666665</v>
      </c>
      <c r="J134" s="233">
        <f t="shared" si="110"/>
        <v>-1674.166666666667</v>
      </c>
      <c r="K134" s="233">
        <f t="shared" si="110"/>
        <v>-183.5</v>
      </c>
      <c r="L134" s="233">
        <f t="shared" si="110"/>
        <v>-1664.916666666667</v>
      </c>
      <c r="M134" s="233">
        <f t="shared" si="110"/>
        <v>-41.16666666666606</v>
      </c>
    </row>
    <row r="135" spans="1:13" ht="12.75">
      <c r="A135" s="228">
        <f t="shared" si="101"/>
        <v>43313</v>
      </c>
      <c r="B135" s="233">
        <f aca="true" t="shared" si="111" ref="B135:M135">B116-B$119</f>
        <v>58</v>
      </c>
      <c r="C135" s="233">
        <f t="shared" si="111"/>
        <v>2030.666666666666</v>
      </c>
      <c r="D135" s="233">
        <f t="shared" si="111"/>
        <v>-14316.833333333336</v>
      </c>
      <c r="E135" s="233">
        <f t="shared" si="111"/>
        <v>-1055.416666666666</v>
      </c>
      <c r="F135" s="233">
        <f t="shared" si="111"/>
        <v>41.25</v>
      </c>
      <c r="G135" s="233">
        <f t="shared" si="111"/>
        <v>98486.16666666666</v>
      </c>
      <c r="H135" s="233">
        <f t="shared" si="111"/>
        <v>-84508.58333333333</v>
      </c>
      <c r="I135" s="233">
        <f t="shared" si="111"/>
        <v>-303.6666666666665</v>
      </c>
      <c r="J135" s="233">
        <f t="shared" si="111"/>
        <v>-1340.166666666667</v>
      </c>
      <c r="K135" s="233">
        <f t="shared" si="111"/>
        <v>-154.5</v>
      </c>
      <c r="L135" s="233">
        <f t="shared" si="111"/>
        <v>-1324.916666666667</v>
      </c>
      <c r="M135" s="233">
        <f t="shared" si="111"/>
        <v>-420.16666666666606</v>
      </c>
    </row>
    <row r="136" spans="1:13" ht="12.75">
      <c r="A136" s="228">
        <f t="shared" si="101"/>
        <v>43344</v>
      </c>
      <c r="B136" s="233">
        <f aca="true" t="shared" si="112" ref="B136:M136">B117-B$119</f>
        <v>2</v>
      </c>
      <c r="C136" s="233">
        <f t="shared" si="112"/>
        <v>1422.666666666666</v>
      </c>
      <c r="D136" s="233">
        <f t="shared" si="112"/>
        <v>-14079.833333333336</v>
      </c>
      <c r="E136" s="233">
        <f t="shared" si="112"/>
        <v>16.58333333333394</v>
      </c>
      <c r="F136" s="233">
        <f t="shared" si="112"/>
        <v>698.25</v>
      </c>
      <c r="G136" s="233">
        <f t="shared" si="112"/>
        <v>9837.166666666664</v>
      </c>
      <c r="H136" s="233">
        <f t="shared" si="112"/>
        <v>-83429.58333333333</v>
      </c>
      <c r="I136" s="233">
        <f t="shared" si="112"/>
        <v>-386.6666666666665</v>
      </c>
      <c r="J136" s="233">
        <f t="shared" si="112"/>
        <v>-708.166666666667</v>
      </c>
      <c r="K136" s="233">
        <f t="shared" si="112"/>
        <v>-4.5</v>
      </c>
      <c r="L136" s="233">
        <f t="shared" si="112"/>
        <v>-779.916666666667</v>
      </c>
      <c r="M136" s="233">
        <f t="shared" si="112"/>
        <v>-109.16666666666606</v>
      </c>
    </row>
    <row r="137" spans="1:13" ht="12.75">
      <c r="A137" s="180" t="s">
        <v>15</v>
      </c>
      <c r="B137" s="185">
        <f>SUM(B125:B136)</f>
        <v>0</v>
      </c>
      <c r="C137" s="185">
        <f aca="true" t="shared" si="113" ref="C137:M137">SUM(C125:C136)</f>
        <v>-7.275957614183426E-12</v>
      </c>
      <c r="D137" s="185">
        <f t="shared" si="113"/>
        <v>-2.9103830456733704E-11</v>
      </c>
      <c r="E137" s="185">
        <f t="shared" si="113"/>
        <v>7.275957614183426E-12</v>
      </c>
      <c r="F137" s="185">
        <f t="shared" si="113"/>
        <v>0</v>
      </c>
      <c r="G137" s="185">
        <f t="shared" si="113"/>
        <v>-8.003553375601768E-11</v>
      </c>
      <c r="H137" s="185">
        <f t="shared" si="113"/>
        <v>0</v>
      </c>
      <c r="I137" s="185">
        <f t="shared" si="113"/>
        <v>1.8189894035458565E-12</v>
      </c>
      <c r="J137" s="185">
        <f t="shared" si="113"/>
        <v>-7.275957614183426E-12</v>
      </c>
      <c r="K137" s="185">
        <f t="shared" si="113"/>
        <v>0</v>
      </c>
      <c r="L137" s="185">
        <f t="shared" si="113"/>
        <v>-3.637978807091713E-12</v>
      </c>
      <c r="M137" s="185">
        <f t="shared" si="113"/>
        <v>7.275957614183426E-12</v>
      </c>
    </row>
    <row r="138" spans="2:13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2.75">
      <c r="B139" s="345" t="s">
        <v>38</v>
      </c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</row>
    <row r="140" spans="1:13" ht="26.25">
      <c r="A140" s="186" t="s">
        <v>20</v>
      </c>
      <c r="B140" s="234" t="s">
        <v>7</v>
      </c>
      <c r="C140" s="234" t="s">
        <v>8</v>
      </c>
      <c r="D140" s="234" t="s">
        <v>9</v>
      </c>
      <c r="E140" s="234" t="s">
        <v>10</v>
      </c>
      <c r="F140" s="234" t="s">
        <v>11</v>
      </c>
      <c r="G140" s="234" t="s">
        <v>18</v>
      </c>
      <c r="H140" s="235" t="s">
        <v>177</v>
      </c>
      <c r="I140" s="234" t="s">
        <v>12</v>
      </c>
      <c r="J140" s="234" t="s">
        <v>23</v>
      </c>
      <c r="K140" s="234" t="s">
        <v>13</v>
      </c>
      <c r="L140" s="234" t="s">
        <v>16</v>
      </c>
      <c r="M140" s="234" t="s">
        <v>14</v>
      </c>
    </row>
    <row r="141" spans="1:13" ht="12.75">
      <c r="A141" s="228">
        <f>A125</f>
        <v>43009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</row>
    <row r="142" spans="1:14" ht="12.75">
      <c r="A142" s="228">
        <f aca="true" t="shared" si="114" ref="A142:A152">A126</f>
        <v>43040</v>
      </c>
      <c r="B142" s="229">
        <f>B107-B106</f>
        <v>137</v>
      </c>
      <c r="C142" s="229">
        <f aca="true" t="shared" si="115" ref="C142:M142">C107-C106</f>
        <v>850</v>
      </c>
      <c r="D142" s="229">
        <f t="shared" si="115"/>
        <v>50114</v>
      </c>
      <c r="E142" s="229">
        <f t="shared" si="115"/>
        <v>-50</v>
      </c>
      <c r="F142" s="229">
        <f t="shared" si="115"/>
        <v>-213</v>
      </c>
      <c r="G142" s="229">
        <f t="shared" si="115"/>
        <v>51</v>
      </c>
      <c r="H142" s="229">
        <f t="shared" si="115"/>
        <v>684554</v>
      </c>
      <c r="I142" s="229">
        <f t="shared" si="115"/>
        <v>197</v>
      </c>
      <c r="J142" s="229">
        <f t="shared" si="115"/>
        <v>-13309</v>
      </c>
      <c r="K142" s="229">
        <f t="shared" si="115"/>
        <v>27</v>
      </c>
      <c r="L142" s="229">
        <f t="shared" si="115"/>
        <v>-691</v>
      </c>
      <c r="M142" s="233">
        <f t="shared" si="115"/>
        <v>607</v>
      </c>
      <c r="N142" s="16"/>
    </row>
    <row r="143" spans="1:14" ht="12.75">
      <c r="A143" s="228">
        <f t="shared" si="114"/>
        <v>43070</v>
      </c>
      <c r="B143" s="229">
        <f aca="true" t="shared" si="116" ref="B143:M143">B108-B107</f>
        <v>-15</v>
      </c>
      <c r="C143" s="229">
        <f t="shared" si="116"/>
        <v>-2603</v>
      </c>
      <c r="D143" s="229">
        <f t="shared" si="116"/>
        <v>-29102</v>
      </c>
      <c r="E143" s="229">
        <f t="shared" si="116"/>
        <v>-1598</v>
      </c>
      <c r="F143" s="229">
        <f t="shared" si="116"/>
        <v>-7</v>
      </c>
      <c r="G143" s="229">
        <f t="shared" si="116"/>
        <v>-3308</v>
      </c>
      <c r="H143" s="229">
        <f t="shared" si="116"/>
        <v>-482564</v>
      </c>
      <c r="I143" s="229">
        <f t="shared" si="116"/>
        <v>-331</v>
      </c>
      <c r="J143" s="229">
        <f t="shared" si="116"/>
        <v>-265</v>
      </c>
      <c r="K143" s="229">
        <f t="shared" si="116"/>
        <v>-396</v>
      </c>
      <c r="L143" s="229">
        <f t="shared" si="116"/>
        <v>-1460</v>
      </c>
      <c r="M143" s="233">
        <f t="shared" si="116"/>
        <v>-1960</v>
      </c>
      <c r="N143" s="16"/>
    </row>
    <row r="144" spans="1:14" ht="12.75">
      <c r="A144" s="228">
        <f t="shared" si="114"/>
        <v>43101</v>
      </c>
      <c r="B144" s="229">
        <f aca="true" t="shared" si="117" ref="B144:M144">B109-B108</f>
        <v>27</v>
      </c>
      <c r="C144" s="229">
        <f t="shared" si="117"/>
        <v>-231</v>
      </c>
      <c r="D144" s="229">
        <f t="shared" si="117"/>
        <v>5392</v>
      </c>
      <c r="E144" s="229">
        <f t="shared" si="117"/>
        <v>1011</v>
      </c>
      <c r="F144" s="229">
        <f t="shared" si="117"/>
        <v>-50</v>
      </c>
      <c r="G144" s="229">
        <f t="shared" si="117"/>
        <v>1401</v>
      </c>
      <c r="H144" s="229">
        <f t="shared" si="117"/>
        <v>-153562</v>
      </c>
      <c r="I144" s="229">
        <f t="shared" si="117"/>
        <v>159</v>
      </c>
      <c r="J144" s="229">
        <f t="shared" si="117"/>
        <v>-301</v>
      </c>
      <c r="K144" s="229">
        <f t="shared" si="117"/>
        <v>704</v>
      </c>
      <c r="L144" s="229">
        <f t="shared" si="117"/>
        <v>-3</v>
      </c>
      <c r="M144" s="233">
        <f t="shared" si="117"/>
        <v>1379</v>
      </c>
      <c r="N144" s="16"/>
    </row>
    <row r="145" spans="1:14" ht="12.75">
      <c r="A145" s="228">
        <f t="shared" si="114"/>
        <v>43132</v>
      </c>
      <c r="B145" s="229">
        <f aca="true" t="shared" si="118" ref="B145:M145">B110-B109</f>
        <v>-66</v>
      </c>
      <c r="C145" s="229">
        <f t="shared" si="118"/>
        <v>1552</v>
      </c>
      <c r="D145" s="229">
        <f t="shared" si="118"/>
        <v>-40488</v>
      </c>
      <c r="E145" s="229">
        <f t="shared" si="118"/>
        <v>-28</v>
      </c>
      <c r="F145" s="229">
        <f t="shared" si="118"/>
        <v>232</v>
      </c>
      <c r="G145" s="229">
        <f t="shared" si="118"/>
        <v>398</v>
      </c>
      <c r="H145" s="229">
        <f t="shared" si="118"/>
        <v>-16004</v>
      </c>
      <c r="I145" s="229">
        <f t="shared" si="118"/>
        <v>389</v>
      </c>
      <c r="J145" s="229">
        <f t="shared" si="118"/>
        <v>-359</v>
      </c>
      <c r="K145" s="229">
        <f t="shared" si="118"/>
        <v>213</v>
      </c>
      <c r="L145" s="229">
        <f t="shared" si="118"/>
        <v>2627</v>
      </c>
      <c r="M145" s="233">
        <f t="shared" si="118"/>
        <v>659</v>
      </c>
      <c r="N145" s="16"/>
    </row>
    <row r="146" spans="1:14" ht="12.75">
      <c r="A146" s="228">
        <f t="shared" si="114"/>
        <v>43160</v>
      </c>
      <c r="B146" s="229">
        <f aca="true" t="shared" si="119" ref="B146:M146">B111-B110</f>
        <v>68</v>
      </c>
      <c r="C146" s="229">
        <f t="shared" si="119"/>
        <v>1206</v>
      </c>
      <c r="D146" s="229">
        <f t="shared" si="119"/>
        <v>10196</v>
      </c>
      <c r="E146" s="229">
        <f t="shared" si="119"/>
        <v>988</v>
      </c>
      <c r="F146" s="229">
        <f t="shared" si="119"/>
        <v>-36</v>
      </c>
      <c r="G146" s="229">
        <f t="shared" si="119"/>
        <v>3706</v>
      </c>
      <c r="H146" s="229">
        <f t="shared" si="119"/>
        <v>-25339</v>
      </c>
      <c r="I146" s="229">
        <f t="shared" si="119"/>
        <v>-127</v>
      </c>
      <c r="J146" s="229">
        <f t="shared" si="119"/>
        <v>1141</v>
      </c>
      <c r="K146" s="229">
        <f t="shared" si="119"/>
        <v>62</v>
      </c>
      <c r="L146" s="229">
        <f t="shared" si="119"/>
        <v>-1119</v>
      </c>
      <c r="M146" s="233">
        <f t="shared" si="119"/>
        <v>1645</v>
      </c>
      <c r="N146" s="16"/>
    </row>
    <row r="147" spans="1:14" ht="12.75">
      <c r="A147" s="228">
        <f t="shared" si="114"/>
        <v>43191</v>
      </c>
      <c r="B147" s="229">
        <f aca="true" t="shared" si="120" ref="B147:M147">B112-B111</f>
        <v>-10</v>
      </c>
      <c r="C147" s="229">
        <f t="shared" si="120"/>
        <v>544</v>
      </c>
      <c r="D147" s="229">
        <f t="shared" si="120"/>
        <v>32257</v>
      </c>
      <c r="E147" s="229">
        <f t="shared" si="120"/>
        <v>-535</v>
      </c>
      <c r="F147" s="229">
        <f t="shared" si="120"/>
        <v>87</v>
      </c>
      <c r="G147" s="229">
        <f t="shared" si="120"/>
        <v>164</v>
      </c>
      <c r="H147" s="229">
        <f t="shared" si="120"/>
        <v>-17545</v>
      </c>
      <c r="I147" s="229">
        <f t="shared" si="120"/>
        <v>-429</v>
      </c>
      <c r="J147" s="229">
        <f t="shared" si="120"/>
        <v>-85</v>
      </c>
      <c r="K147" s="229">
        <f t="shared" si="120"/>
        <v>-203</v>
      </c>
      <c r="L147" s="229">
        <f t="shared" si="120"/>
        <v>-406</v>
      </c>
      <c r="M147" s="233">
        <f t="shared" si="120"/>
        <v>478</v>
      </c>
      <c r="N147" s="16"/>
    </row>
    <row r="148" spans="1:14" ht="12.75">
      <c r="A148" s="228">
        <f t="shared" si="114"/>
        <v>43221</v>
      </c>
      <c r="B148" s="229">
        <f aca="true" t="shared" si="121" ref="B148:M148">B113-B112</f>
        <v>52</v>
      </c>
      <c r="C148" s="229">
        <f t="shared" si="121"/>
        <v>1834</v>
      </c>
      <c r="D148" s="229">
        <f t="shared" si="121"/>
        <v>-32516</v>
      </c>
      <c r="E148" s="229">
        <f t="shared" si="121"/>
        <v>801</v>
      </c>
      <c r="F148" s="229">
        <f t="shared" si="121"/>
        <v>169</v>
      </c>
      <c r="G148" s="229">
        <f t="shared" si="121"/>
        <v>-380</v>
      </c>
      <c r="H148" s="229">
        <f t="shared" si="121"/>
        <v>4414</v>
      </c>
      <c r="I148" s="229">
        <f t="shared" si="121"/>
        <v>11</v>
      </c>
      <c r="J148" s="229">
        <f t="shared" si="121"/>
        <v>-268</v>
      </c>
      <c r="K148" s="229">
        <f t="shared" si="121"/>
        <v>3</v>
      </c>
      <c r="L148" s="229">
        <f t="shared" si="121"/>
        <v>-258</v>
      </c>
      <c r="M148" s="233">
        <f t="shared" si="121"/>
        <v>-40</v>
      </c>
      <c r="N148" s="16"/>
    </row>
    <row r="149" spans="1:14" ht="12.75">
      <c r="A149" s="228">
        <f t="shared" si="114"/>
        <v>43252</v>
      </c>
      <c r="B149" s="229">
        <f aca="true" t="shared" si="122" ref="B149:M149">B114-B113</f>
        <v>60</v>
      </c>
      <c r="C149" s="229">
        <f t="shared" si="122"/>
        <v>-3645</v>
      </c>
      <c r="D149" s="229">
        <f t="shared" si="122"/>
        <v>-2941</v>
      </c>
      <c r="E149" s="229">
        <f t="shared" si="122"/>
        <v>-1813</v>
      </c>
      <c r="F149" s="229">
        <f t="shared" si="122"/>
        <v>-738</v>
      </c>
      <c r="G149" s="229">
        <f t="shared" si="122"/>
        <v>-4331</v>
      </c>
      <c r="H149" s="229">
        <f t="shared" si="122"/>
        <v>1167</v>
      </c>
      <c r="I149" s="229">
        <f t="shared" si="122"/>
        <v>-216</v>
      </c>
      <c r="J149" s="229">
        <f t="shared" si="122"/>
        <v>-900</v>
      </c>
      <c r="K149" s="229">
        <f t="shared" si="122"/>
        <v>-339</v>
      </c>
      <c r="L149" s="229">
        <f t="shared" si="122"/>
        <v>-1322</v>
      </c>
      <c r="M149" s="233">
        <f t="shared" si="122"/>
        <v>-2165</v>
      </c>
      <c r="N149" s="16"/>
    </row>
    <row r="150" spans="1:14" ht="12.75">
      <c r="A150" s="228">
        <f t="shared" si="114"/>
        <v>43282</v>
      </c>
      <c r="B150" s="229">
        <f aca="true" t="shared" si="123" ref="B150:M150">B115-B114</f>
        <v>-112</v>
      </c>
      <c r="C150" s="229">
        <f t="shared" si="123"/>
        <v>1121</v>
      </c>
      <c r="D150" s="229">
        <f t="shared" si="123"/>
        <v>11</v>
      </c>
      <c r="E150" s="229">
        <f t="shared" si="123"/>
        <v>-649</v>
      </c>
      <c r="F150" s="229">
        <f t="shared" si="123"/>
        <v>350</v>
      </c>
      <c r="G150" s="229">
        <f t="shared" si="123"/>
        <v>90591</v>
      </c>
      <c r="H150" s="229">
        <f t="shared" si="123"/>
        <v>9957</v>
      </c>
      <c r="I150" s="229">
        <f t="shared" si="123"/>
        <v>-125</v>
      </c>
      <c r="J150" s="229">
        <f t="shared" si="123"/>
        <v>141</v>
      </c>
      <c r="K150" s="229">
        <f t="shared" si="123"/>
        <v>-66</v>
      </c>
      <c r="L150" s="229">
        <f t="shared" si="123"/>
        <v>-581</v>
      </c>
      <c r="M150" s="233">
        <f t="shared" si="123"/>
        <v>234</v>
      </c>
      <c r="N150" s="16"/>
    </row>
    <row r="151" spans="1:14" ht="12.75">
      <c r="A151" s="228">
        <f t="shared" si="114"/>
        <v>43313</v>
      </c>
      <c r="B151" s="229">
        <f aca="true" t="shared" si="124" ref="B151:M151">B116-B115</f>
        <v>60</v>
      </c>
      <c r="C151" s="229">
        <f t="shared" si="124"/>
        <v>1954</v>
      </c>
      <c r="D151" s="229">
        <f t="shared" si="124"/>
        <v>-1118</v>
      </c>
      <c r="E151" s="229">
        <f t="shared" si="124"/>
        <v>174</v>
      </c>
      <c r="F151" s="229">
        <f t="shared" si="124"/>
        <v>183</v>
      </c>
      <c r="G151" s="229">
        <f t="shared" si="124"/>
        <v>29643</v>
      </c>
      <c r="H151" s="229">
        <f t="shared" si="124"/>
        <v>-10563</v>
      </c>
      <c r="I151" s="229">
        <f t="shared" si="124"/>
        <v>69</v>
      </c>
      <c r="J151" s="229">
        <f t="shared" si="124"/>
        <v>334</v>
      </c>
      <c r="K151" s="229">
        <f t="shared" si="124"/>
        <v>29</v>
      </c>
      <c r="L151" s="229">
        <f t="shared" si="124"/>
        <v>340</v>
      </c>
      <c r="M151" s="233">
        <f t="shared" si="124"/>
        <v>-379</v>
      </c>
      <c r="N151" s="16"/>
    </row>
    <row r="152" spans="1:14" ht="12.75">
      <c r="A152" s="228">
        <f t="shared" si="114"/>
        <v>43344</v>
      </c>
      <c r="B152" s="229">
        <f aca="true" t="shared" si="125" ref="B152:M152">B117-B116</f>
        <v>-56</v>
      </c>
      <c r="C152" s="229">
        <f t="shared" si="125"/>
        <v>-608</v>
      </c>
      <c r="D152" s="229">
        <f t="shared" si="125"/>
        <v>237</v>
      </c>
      <c r="E152" s="229">
        <f t="shared" si="125"/>
        <v>1072</v>
      </c>
      <c r="F152" s="229">
        <f t="shared" si="125"/>
        <v>657</v>
      </c>
      <c r="G152" s="229">
        <f t="shared" si="125"/>
        <v>-88649</v>
      </c>
      <c r="H152" s="229">
        <f t="shared" si="125"/>
        <v>1079</v>
      </c>
      <c r="I152" s="229">
        <f t="shared" si="125"/>
        <v>-83</v>
      </c>
      <c r="J152" s="229">
        <f t="shared" si="125"/>
        <v>632</v>
      </c>
      <c r="K152" s="229">
        <f t="shared" si="125"/>
        <v>150</v>
      </c>
      <c r="L152" s="229">
        <f t="shared" si="125"/>
        <v>545</v>
      </c>
      <c r="M152" s="233">
        <f t="shared" si="125"/>
        <v>311</v>
      </c>
      <c r="N152" s="16"/>
    </row>
    <row r="155" spans="1:13" ht="12.75" customHeight="1">
      <c r="A155" s="353" t="s">
        <v>51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</row>
    <row r="156" spans="1:15" ht="26.25">
      <c r="A156" s="33" t="s">
        <v>54</v>
      </c>
      <c r="B156" s="23" t="s">
        <v>7</v>
      </c>
      <c r="C156" s="23" t="s">
        <v>8</v>
      </c>
      <c r="D156" s="23" t="s">
        <v>9</v>
      </c>
      <c r="E156" s="23" t="s">
        <v>10</v>
      </c>
      <c r="F156" s="23" t="s">
        <v>11</v>
      </c>
      <c r="G156" s="23" t="s">
        <v>18</v>
      </c>
      <c r="H156" s="24" t="s">
        <v>177</v>
      </c>
      <c r="I156" s="23" t="s">
        <v>12</v>
      </c>
      <c r="J156" s="52" t="s">
        <v>23</v>
      </c>
      <c r="K156" s="23" t="s">
        <v>13</v>
      </c>
      <c r="L156" s="23" t="s">
        <v>16</v>
      </c>
      <c r="M156" s="23" t="s">
        <v>14</v>
      </c>
      <c r="N156" s="131" t="s">
        <v>53</v>
      </c>
      <c r="O156" s="30"/>
    </row>
    <row r="157" spans="1:15" ht="12.75">
      <c r="A157" s="243" t="s">
        <v>44</v>
      </c>
      <c r="B157" s="176">
        <v>1828.71037890625</v>
      </c>
      <c r="C157" s="176">
        <v>255.6104873046875</v>
      </c>
      <c r="D157" s="176"/>
      <c r="E157" s="176">
        <v>219.8872294921875</v>
      </c>
      <c r="F157" s="176">
        <v>3.435041015625</v>
      </c>
      <c r="G157" s="176">
        <v>1761.525625</v>
      </c>
      <c r="H157" s="176">
        <v>180.68916015625</v>
      </c>
      <c r="I157" s="176">
        <v>125.360509765625</v>
      </c>
      <c r="J157" s="176"/>
      <c r="K157" s="176"/>
      <c r="L157" s="176">
        <v>21.843390625</v>
      </c>
      <c r="M157" s="176"/>
      <c r="N157" s="176">
        <f aca="true" t="shared" si="126" ref="N157:N164">SUM(B157:M157)</f>
        <v>4397.061822265625</v>
      </c>
      <c r="O157" s="18">
        <f>N157/1024</f>
        <v>4.294005685806274</v>
      </c>
    </row>
    <row r="158" spans="1:15" ht="12.75">
      <c r="A158" s="244" t="s">
        <v>45</v>
      </c>
      <c r="B158" s="176">
        <v>2359.018</v>
      </c>
      <c r="C158" s="176">
        <v>376.687</v>
      </c>
      <c r="D158" s="176"/>
      <c r="E158" s="176">
        <v>317.831</v>
      </c>
      <c r="F158" s="176">
        <v>5.333</v>
      </c>
      <c r="G158" s="176">
        <v>759.511</v>
      </c>
      <c r="H158" s="176">
        <v>392.526</v>
      </c>
      <c r="I158" s="176">
        <v>63.571999999999996</v>
      </c>
      <c r="J158" s="176"/>
      <c r="K158" s="176">
        <v>0.387</v>
      </c>
      <c r="L158" s="176">
        <v>29.621</v>
      </c>
      <c r="M158" s="176"/>
      <c r="N158" s="176">
        <f t="shared" si="126"/>
        <v>4304.486</v>
      </c>
      <c r="O158" s="18">
        <f aca="true" t="shared" si="127" ref="O158:O164">N158/1024</f>
        <v>4.203599609375</v>
      </c>
    </row>
    <row r="159" spans="1:15" ht="12.75">
      <c r="A159" s="244" t="s">
        <v>46</v>
      </c>
      <c r="B159" s="176">
        <v>2082.8297632890626</v>
      </c>
      <c r="C159" s="176">
        <v>448.4706982421875</v>
      </c>
      <c r="D159" s="176"/>
      <c r="E159" s="176">
        <v>381.539158203125</v>
      </c>
      <c r="F159" s="176">
        <v>6.824234375</v>
      </c>
      <c r="G159" s="176">
        <v>822.252681640625</v>
      </c>
      <c r="H159" s="176">
        <v>768.3358173828125</v>
      </c>
      <c r="I159" s="176">
        <v>66.0579814453125</v>
      </c>
      <c r="J159" s="176"/>
      <c r="K159" s="176">
        <v>0.4101905822753906</v>
      </c>
      <c r="L159" s="176">
        <v>32.9021357421875</v>
      </c>
      <c r="M159" s="176">
        <v>2.722111328125</v>
      </c>
      <c r="N159" s="176">
        <f t="shared" si="126"/>
        <v>4612.344772230713</v>
      </c>
      <c r="O159" s="18">
        <f t="shared" si="127"/>
        <v>4.5042429416315555</v>
      </c>
    </row>
    <row r="160" spans="1:15" ht="12.75">
      <c r="A160" s="245" t="s">
        <v>47</v>
      </c>
      <c r="B160" s="176">
        <v>1780.108232421875</v>
      </c>
      <c r="C160" s="176">
        <v>1801.57</v>
      </c>
      <c r="D160" s="176">
        <v>6.03</v>
      </c>
      <c r="E160" s="176">
        <v>422.22720703125</v>
      </c>
      <c r="F160" s="176">
        <v>6.423197265625</v>
      </c>
      <c r="G160" s="176">
        <v>898.9502607421875</v>
      </c>
      <c r="H160" s="176">
        <v>882.0893359375</v>
      </c>
      <c r="I160" s="176">
        <v>64.4314765625</v>
      </c>
      <c r="J160" s="176"/>
      <c r="K160" s="176">
        <v>0.0460732421875</v>
      </c>
      <c r="L160" s="176">
        <v>36.1633310546875</v>
      </c>
      <c r="M160" s="176">
        <v>2.8863720703125</v>
      </c>
      <c r="N160" s="176">
        <f t="shared" si="126"/>
        <v>5900.925486328124</v>
      </c>
      <c r="O160" s="18">
        <f t="shared" si="127"/>
        <v>5.7626225452423085</v>
      </c>
    </row>
    <row r="161" spans="1:15" ht="12.75">
      <c r="A161" s="245" t="s">
        <v>48</v>
      </c>
      <c r="B161" s="176">
        <v>2167.0134765625</v>
      </c>
      <c r="C161" s="176">
        <v>2654.908486328125</v>
      </c>
      <c r="D161" s="176">
        <v>6.74</v>
      </c>
      <c r="E161" s="176">
        <v>515.71818359375</v>
      </c>
      <c r="F161" s="176">
        <v>7.087626953125</v>
      </c>
      <c r="G161" s="176">
        <v>954.17966796875</v>
      </c>
      <c r="H161" s="176">
        <v>1159.65796875</v>
      </c>
      <c r="I161" s="176">
        <v>63.890546875</v>
      </c>
      <c r="J161" s="176"/>
      <c r="K161" s="176">
        <v>0.615234375</v>
      </c>
      <c r="L161" s="176">
        <v>41.46984375</v>
      </c>
      <c r="M161" s="176">
        <v>3.30794921875</v>
      </c>
      <c r="N161" s="176">
        <f t="shared" si="126"/>
        <v>7574.588984375</v>
      </c>
      <c r="O161" s="18">
        <f t="shared" si="127"/>
        <v>7.397059555053711</v>
      </c>
    </row>
    <row r="162" spans="1:15" ht="12.75">
      <c r="A162" s="245" t="s">
        <v>49</v>
      </c>
      <c r="B162" s="176">
        <v>2806.56</v>
      </c>
      <c r="C162" s="176">
        <v>3597.054208984375</v>
      </c>
      <c r="D162" s="176">
        <v>7.996279296875</v>
      </c>
      <c r="E162" s="176">
        <v>668.5562109375</v>
      </c>
      <c r="F162" s="176">
        <v>9.537060546875</v>
      </c>
      <c r="G162" s="176">
        <v>1066.3169921875</v>
      </c>
      <c r="H162" s="176">
        <v>1543.923642578125</v>
      </c>
      <c r="I162" s="176">
        <v>108.343125</v>
      </c>
      <c r="J162" s="176"/>
      <c r="K162" s="176">
        <v>143.2</v>
      </c>
      <c r="L162" s="176">
        <v>44.454013671875</v>
      </c>
      <c r="M162" s="176">
        <v>3.3409765625</v>
      </c>
      <c r="N162" s="176">
        <f t="shared" si="126"/>
        <v>9999.282509765626</v>
      </c>
      <c r="O162" s="18">
        <f t="shared" si="127"/>
        <v>9.764924325942994</v>
      </c>
    </row>
    <row r="163" spans="1:15" ht="12.75">
      <c r="A163" s="245" t="s">
        <v>50</v>
      </c>
      <c r="B163" s="176">
        <v>3268.561468825492</v>
      </c>
      <c r="C163" s="176">
        <v>1486.062054989158</v>
      </c>
      <c r="D163" s="176">
        <v>11.422</v>
      </c>
      <c r="E163" s="176">
        <v>775.3091868509467</v>
      </c>
      <c r="F163" s="176">
        <v>8.80790553543101</v>
      </c>
      <c r="G163" s="176">
        <v>1131.1058336851804</v>
      </c>
      <c r="H163" s="176">
        <v>2298.74383585837</v>
      </c>
      <c r="I163" s="176">
        <v>121.28570499155356</v>
      </c>
      <c r="J163" s="176"/>
      <c r="K163" s="176">
        <v>175.490234375</v>
      </c>
      <c r="L163" s="176">
        <v>54.8790291053073</v>
      </c>
      <c r="M163" s="176">
        <v>3.3594172669090723</v>
      </c>
      <c r="N163" s="176">
        <f t="shared" si="126"/>
        <v>9335.026671483345</v>
      </c>
      <c r="O163" s="18">
        <f t="shared" si="127"/>
        <v>9.116236983870454</v>
      </c>
    </row>
    <row r="164" spans="1:15" ht="12.75">
      <c r="A164" s="245" t="s">
        <v>52</v>
      </c>
      <c r="B164" s="176">
        <v>3475</v>
      </c>
      <c r="C164" s="176">
        <v>2136.66015625</v>
      </c>
      <c r="D164" s="176">
        <v>13.209765625</v>
      </c>
      <c r="E164" s="176">
        <v>1161.837822265625</v>
      </c>
      <c r="F164" s="176">
        <v>9.89509765625</v>
      </c>
      <c r="G164" s="176">
        <v>2468.4033984375</v>
      </c>
      <c r="H164" s="176">
        <v>5265.469599609375</v>
      </c>
      <c r="I164" s="176">
        <v>177.02448242187498</v>
      </c>
      <c r="J164" s="176"/>
      <c r="K164" s="176">
        <v>183.447265625</v>
      </c>
      <c r="L164" s="176">
        <v>89.56239257812501</v>
      </c>
      <c r="M164" s="176">
        <v>3.36599609375</v>
      </c>
      <c r="N164" s="176">
        <f t="shared" si="126"/>
        <v>14983.875976562502</v>
      </c>
      <c r="O164" s="18">
        <f t="shared" si="127"/>
        <v>14.632691383361818</v>
      </c>
    </row>
    <row r="165" spans="1:15" ht="12.75">
      <c r="A165" s="246" t="s">
        <v>85</v>
      </c>
      <c r="B165" s="247">
        <v>4159.7939453125</v>
      </c>
      <c r="C165" s="247">
        <v>2656.079189453125</v>
      </c>
      <c r="D165" s="247">
        <v>17.5</v>
      </c>
      <c r="E165" s="247">
        <v>1425.640654296875</v>
      </c>
      <c r="F165" s="247">
        <v>13.584150390625</v>
      </c>
      <c r="G165" s="247">
        <v>2933.262939453125</v>
      </c>
      <c r="H165" s="247">
        <v>6075.106201171875</v>
      </c>
      <c r="I165" s="247">
        <v>277.420615234375</v>
      </c>
      <c r="J165" s="247"/>
      <c r="K165" s="247">
        <v>197.0810546875</v>
      </c>
      <c r="L165" s="247">
        <v>164.003359375</v>
      </c>
      <c r="M165" s="247">
        <v>3.720546875</v>
      </c>
      <c r="N165" s="176">
        <f>SUM(B165:M165)</f>
        <v>17923.19265625</v>
      </c>
      <c r="O165" s="18">
        <f>N165/1024</f>
        <v>17.50311782836914</v>
      </c>
    </row>
    <row r="166" spans="1:15" ht="12.75">
      <c r="A166" s="246" t="s">
        <v>109</v>
      </c>
      <c r="B166" s="247">
        <v>4179.5</v>
      </c>
      <c r="C166" s="247">
        <v>5230.002034044266</v>
      </c>
      <c r="D166" s="247">
        <v>20.16</v>
      </c>
      <c r="E166" s="247">
        <v>1682.993828125</v>
      </c>
      <c r="F166" s="247">
        <v>16.09703125</v>
      </c>
      <c r="G166" s="247">
        <v>3104.99</v>
      </c>
      <c r="H166" s="247">
        <v>5817.73478515625</v>
      </c>
      <c r="I166" s="247">
        <v>428.189697265625</v>
      </c>
      <c r="J166" s="247">
        <v>3445.943410873413</v>
      </c>
      <c r="K166" s="247">
        <v>202.5</v>
      </c>
      <c r="L166" s="247">
        <v>245.70528320312502</v>
      </c>
      <c r="M166" s="247">
        <v>3.88087890625</v>
      </c>
      <c r="N166" s="176">
        <f>SUM(B166:M166)</f>
        <v>24377.69694882393</v>
      </c>
      <c r="O166" s="18">
        <f>N166/1024</f>
        <v>23.80634467658587</v>
      </c>
    </row>
    <row r="167" spans="1:15" ht="12.75">
      <c r="A167" s="278" t="s">
        <v>134</v>
      </c>
      <c r="B167" s="236">
        <v>5008.96</v>
      </c>
      <c r="C167" s="236">
        <v>6550.836700660107</v>
      </c>
      <c r="D167" s="236">
        <v>16.43788675719678</v>
      </c>
      <c r="E167" s="236">
        <v>2098.712905831621</v>
      </c>
      <c r="F167" s="236">
        <v>27.6</v>
      </c>
      <c r="G167" s="236">
        <v>3005.56</v>
      </c>
      <c r="H167" s="236">
        <v>5239.006133378593</v>
      </c>
      <c r="I167" s="236">
        <v>619.31</v>
      </c>
      <c r="J167" s="236">
        <v>4931.584</v>
      </c>
      <c r="K167" s="236">
        <v>203.05</v>
      </c>
      <c r="L167" s="236">
        <v>314.8735548427951</v>
      </c>
      <c r="M167" s="236">
        <v>6.33394758868416</v>
      </c>
      <c r="N167" s="176">
        <f>SUM(B167:M167)</f>
        <v>28022.265129058993</v>
      </c>
      <c r="O167" s="18">
        <f>N167/1024</f>
        <v>27.365493290096673</v>
      </c>
    </row>
    <row r="169" spans="1:9" ht="12.75" customHeight="1">
      <c r="A169" s="351" t="s">
        <v>55</v>
      </c>
      <c r="B169" s="352"/>
      <c r="C169" s="352"/>
      <c r="D169" s="352"/>
      <c r="E169" s="352"/>
      <c r="F169" s="352"/>
      <c r="G169" s="352"/>
      <c r="H169" s="352"/>
      <c r="I169"/>
    </row>
    <row r="170" spans="1:23" ht="12.75">
      <c r="A170" s="31" t="s">
        <v>43</v>
      </c>
      <c r="B170" s="132" t="s">
        <v>7</v>
      </c>
      <c r="C170" s="132" t="s">
        <v>8</v>
      </c>
      <c r="D170" s="132" t="s">
        <v>9</v>
      </c>
      <c r="E170" s="132" t="s">
        <v>56</v>
      </c>
      <c r="F170" s="132" t="s">
        <v>11</v>
      </c>
      <c r="G170" s="132" t="s">
        <v>18</v>
      </c>
      <c r="H170" s="132" t="s">
        <v>177</v>
      </c>
      <c r="I170" s="132" t="s">
        <v>12</v>
      </c>
      <c r="J170" s="52" t="s">
        <v>23</v>
      </c>
      <c r="K170" s="133" t="s">
        <v>13</v>
      </c>
      <c r="L170" s="132" t="s">
        <v>16</v>
      </c>
      <c r="M170" s="132" t="s">
        <v>14</v>
      </c>
      <c r="N170"/>
      <c r="O170"/>
      <c r="P170"/>
      <c r="Q170"/>
      <c r="R170"/>
      <c r="S170"/>
      <c r="T170"/>
      <c r="U170"/>
      <c r="V170"/>
      <c r="W170"/>
    </row>
    <row r="171" spans="1:23" ht="12.75">
      <c r="A171" s="248" t="s">
        <v>44</v>
      </c>
      <c r="B171" s="249">
        <v>0.002657614168405535</v>
      </c>
      <c r="C171" s="249">
        <v>0.04285002491280518</v>
      </c>
      <c r="D171" s="249"/>
      <c r="E171" s="249">
        <v>0.16945548561694312</v>
      </c>
      <c r="F171" s="249"/>
      <c r="G171" s="249">
        <v>0.0364664848186737</v>
      </c>
      <c r="H171" s="249">
        <v>0.37612140147288553</v>
      </c>
      <c r="I171" s="249">
        <v>0.022101237652255103</v>
      </c>
      <c r="J171" s="249"/>
      <c r="K171" s="249">
        <v>0.2038859881879654</v>
      </c>
      <c r="L171" s="249">
        <v>0.3592377107575398</v>
      </c>
      <c r="M171" s="249"/>
      <c r="N171"/>
      <c r="O171"/>
      <c r="P171"/>
      <c r="Q171"/>
      <c r="R171"/>
      <c r="S171"/>
      <c r="T171"/>
      <c r="U171"/>
      <c r="V171"/>
      <c r="W171"/>
    </row>
    <row r="172" spans="1:23" ht="12.75">
      <c r="A172" s="248" t="s">
        <v>45</v>
      </c>
      <c r="B172" s="249">
        <v>0.0030116919157454165</v>
      </c>
      <c r="C172" s="249">
        <v>0.065149136577708</v>
      </c>
      <c r="D172" s="249">
        <v>0.44433094994892747</v>
      </c>
      <c r="E172" s="249">
        <v>0.12795633717404487</v>
      </c>
      <c r="F172" s="249">
        <v>0.15365489806066635</v>
      </c>
      <c r="G172" s="249">
        <v>0.08033923557389261</v>
      </c>
      <c r="H172" s="249">
        <v>0.3058103975535168</v>
      </c>
      <c r="I172" s="249">
        <v>0.0039931447566698966</v>
      </c>
      <c r="J172" s="249"/>
      <c r="K172" s="249">
        <v>0.23837126091312438</v>
      </c>
      <c r="L172" s="249">
        <v>0.3016263495968293</v>
      </c>
      <c r="M172" s="249">
        <v>0.08016785169312685</v>
      </c>
      <c r="N172"/>
      <c r="O172"/>
      <c r="P172"/>
      <c r="Q172"/>
      <c r="R172"/>
      <c r="S172"/>
      <c r="T172"/>
      <c r="U172"/>
      <c r="V172"/>
      <c r="W172"/>
    </row>
    <row r="173" spans="1:23" ht="12.75">
      <c r="A173" s="248" t="s">
        <v>46</v>
      </c>
      <c r="B173" s="249">
        <v>0.004236534700156937</v>
      </c>
      <c r="C173" s="249">
        <v>0.044993735049550065</v>
      </c>
      <c r="D173" s="249">
        <v>0.4325581395348837</v>
      </c>
      <c r="E173" s="249">
        <v>0.243128212047247</v>
      </c>
      <c r="F173" s="249">
        <v>0.1547310900201323</v>
      </c>
      <c r="G173" s="249">
        <v>0.13444174335822193</v>
      </c>
      <c r="H173" s="249">
        <v>0.3157810328236929</v>
      </c>
      <c r="I173" s="249">
        <v>0.006790692817737248</v>
      </c>
      <c r="J173" s="249"/>
      <c r="K173" s="249">
        <v>0.31703153988868277</v>
      </c>
      <c r="L173" s="249">
        <v>0.3594003241491086</v>
      </c>
      <c r="M173" s="249">
        <v>0.2743026383903188</v>
      </c>
      <c r="N173"/>
      <c r="O173"/>
      <c r="P173"/>
      <c r="Q173"/>
      <c r="R173"/>
      <c r="S173"/>
      <c r="T173"/>
      <c r="U173"/>
      <c r="V173"/>
      <c r="W173"/>
    </row>
    <row r="174" spans="1:23" ht="12.75">
      <c r="A174" s="248" t="s">
        <v>47</v>
      </c>
      <c r="B174" s="249">
        <v>0.001804059133049361</v>
      </c>
      <c r="C174" s="249">
        <v>0.14648586707410235</v>
      </c>
      <c r="D174" s="249">
        <v>0.46153846153846156</v>
      </c>
      <c r="E174" s="249">
        <v>0.2570786226976624</v>
      </c>
      <c r="F174" s="249">
        <v>0.18175937904269082</v>
      </c>
      <c r="G174" s="249">
        <v>0.037928462661984526</v>
      </c>
      <c r="H174" s="249">
        <v>0.04338026273738036</v>
      </c>
      <c r="I174" s="249">
        <v>0.0014999808587129399</v>
      </c>
      <c r="J174" s="249"/>
      <c r="K174" s="249">
        <v>0.3850760570128159</v>
      </c>
      <c r="L174" s="249">
        <v>0.13245337159253945</v>
      </c>
      <c r="M174" s="249">
        <v>0.23747127802868234</v>
      </c>
      <c r="N174"/>
      <c r="O174"/>
      <c r="P174"/>
      <c r="Q174"/>
      <c r="R174"/>
      <c r="S174"/>
      <c r="T174"/>
      <c r="U174"/>
      <c r="V174"/>
      <c r="W174"/>
    </row>
    <row r="175" spans="1:23" ht="12.75">
      <c r="A175" s="248" t="s">
        <v>48</v>
      </c>
      <c r="B175" s="249">
        <v>0.005335010463994101</v>
      </c>
      <c r="C175" s="249">
        <v>0.20397167487684728</v>
      </c>
      <c r="D175" s="249">
        <v>0.4571009533121486</v>
      </c>
      <c r="E175" s="249">
        <v>0.32813815121172546</v>
      </c>
      <c r="F175" s="249">
        <v>0.18018433179723503</v>
      </c>
      <c r="G175" s="249">
        <v>0.04572503172609693</v>
      </c>
      <c r="H175" s="249">
        <v>0.043854362508434164</v>
      </c>
      <c r="I175" s="249">
        <v>0.019530765487696666</v>
      </c>
      <c r="J175" s="249"/>
      <c r="K175" s="249">
        <v>0.35461946373889014</v>
      </c>
      <c r="L175" s="249">
        <v>0.12790491396132694</v>
      </c>
      <c r="M175" s="249">
        <v>0.32130439995204413</v>
      </c>
      <c r="N175"/>
      <c r="O175"/>
      <c r="P175"/>
      <c r="Q175"/>
      <c r="R175"/>
      <c r="S175"/>
      <c r="T175"/>
      <c r="U175"/>
      <c r="V175"/>
      <c r="W175"/>
    </row>
    <row r="176" spans="1:23" ht="12.75">
      <c r="A176" s="248" t="s">
        <v>49</v>
      </c>
      <c r="B176" s="249">
        <v>0.007220010069110714</v>
      </c>
      <c r="C176" s="249">
        <v>0.20597179983411668</v>
      </c>
      <c r="D176" s="249">
        <v>0.5045189797148022</v>
      </c>
      <c r="E176" s="249">
        <v>0.37452845127096934</v>
      </c>
      <c r="F176" s="249">
        <v>0.2005736137667304</v>
      </c>
      <c r="G176" s="249">
        <v>0.17976792544861755</v>
      </c>
      <c r="H176" s="249">
        <v>0.0580265320114486</v>
      </c>
      <c r="I176" s="249">
        <v>0.00762609094337268</v>
      </c>
      <c r="J176" s="249"/>
      <c r="K176" s="249">
        <v>0.3864161159327972</v>
      </c>
      <c r="L176" s="249">
        <v>0.3792</v>
      </c>
      <c r="M176" s="249">
        <v>0.44425840829096597</v>
      </c>
      <c r="N176"/>
      <c r="O176"/>
      <c r="P176"/>
      <c r="Q176"/>
      <c r="R176"/>
      <c r="S176"/>
      <c r="T176"/>
      <c r="U176"/>
      <c r="V176"/>
      <c r="W176"/>
    </row>
    <row r="177" spans="1:23" ht="12.75">
      <c r="A177" s="248" t="s">
        <v>50</v>
      </c>
      <c r="B177" s="249">
        <v>0.01308025876164072</v>
      </c>
      <c r="C177" s="249">
        <v>0.14301525812317178</v>
      </c>
      <c r="D177" s="249">
        <v>0.4690265486725664</v>
      </c>
      <c r="E177" s="249">
        <v>0.41089104025421636</v>
      </c>
      <c r="F177" s="249">
        <v>0.2142078488372093</v>
      </c>
      <c r="G177" s="249">
        <v>0.1921027354903225</v>
      </c>
      <c r="H177" s="249">
        <v>0.08179106706932847</v>
      </c>
      <c r="I177" s="249">
        <v>0.022872950029919167</v>
      </c>
      <c r="J177" s="249"/>
      <c r="K177" s="249">
        <v>0.38235742604452577</v>
      </c>
      <c r="L177" s="249">
        <v>0.4631744141999026</v>
      </c>
      <c r="M177" s="249">
        <v>0.5363657077072516</v>
      </c>
      <c r="N177"/>
      <c r="O177"/>
      <c r="P177"/>
      <c r="Q177"/>
      <c r="R177"/>
      <c r="S177"/>
      <c r="T177"/>
      <c r="U177"/>
      <c r="V177"/>
      <c r="W177"/>
    </row>
    <row r="178" spans="1:23" ht="12.75">
      <c r="A178" s="248" t="s">
        <v>52</v>
      </c>
      <c r="B178" s="250">
        <v>0.009306355150634398</v>
      </c>
      <c r="C178" s="250">
        <v>0.15005534433803358</v>
      </c>
      <c r="D178" s="250">
        <v>0.43352601156069365</v>
      </c>
      <c r="E178" s="250">
        <v>0.3554892238482922</v>
      </c>
      <c r="F178" s="250">
        <v>0.1959266802443992</v>
      </c>
      <c r="G178" s="250">
        <v>0.1811757891688387</v>
      </c>
      <c r="H178" s="250">
        <v>0.07425815002237598</v>
      </c>
      <c r="I178" s="250">
        <v>0.022209925097333938</v>
      </c>
      <c r="J178" s="250"/>
      <c r="K178" s="250">
        <v>0.3804569942411295</v>
      </c>
      <c r="L178" s="250">
        <v>0.30471387666139577</v>
      </c>
      <c r="M178" s="250">
        <v>0.6621954187738324</v>
      </c>
      <c r="N178"/>
      <c r="O178"/>
      <c r="P178"/>
      <c r="Q178"/>
      <c r="R178"/>
      <c r="S178"/>
      <c r="T178"/>
      <c r="U178"/>
      <c r="V178"/>
      <c r="W178"/>
    </row>
    <row r="179" spans="1:13" ht="12.75">
      <c r="A179" s="248" t="s">
        <v>85</v>
      </c>
      <c r="B179" s="250">
        <v>0.008919620594812739</v>
      </c>
      <c r="C179" s="250">
        <v>0.2822750235672331</v>
      </c>
      <c r="D179" s="250">
        <v>0.4361111111111111</v>
      </c>
      <c r="E179" s="250">
        <v>0.36126485905789485</v>
      </c>
      <c r="F179" s="250">
        <v>0.10375166002656043</v>
      </c>
      <c r="G179" s="250">
        <v>0.24775192716871883</v>
      </c>
      <c r="H179" s="250">
        <v>0.049782989069920694</v>
      </c>
      <c r="I179" s="250">
        <v>0.021062864549578744</v>
      </c>
      <c r="J179" s="250"/>
      <c r="K179" s="250">
        <v>0.24058648533786656</v>
      </c>
      <c r="L179" s="250">
        <v>0.31115350981795054</v>
      </c>
      <c r="M179" s="250">
        <v>0.6443627686273434</v>
      </c>
    </row>
    <row r="180" spans="1:13" ht="12.75">
      <c r="A180" s="248" t="s">
        <v>109</v>
      </c>
      <c r="B180" s="250">
        <v>0.008712842290232831</v>
      </c>
      <c r="C180" s="250">
        <v>0.5582352608351251</v>
      </c>
      <c r="D180" s="250">
        <v>0.42523162178543594</v>
      </c>
      <c r="E180" s="250">
        <v>0.38022714452891504</v>
      </c>
      <c r="F180" s="250">
        <v>0.1526259242874297</v>
      </c>
      <c r="G180" s="250">
        <v>0.32284028536173714</v>
      </c>
      <c r="H180" s="250">
        <v>0.04467244154122882</v>
      </c>
      <c r="I180" s="250">
        <v>0.02854713716836561</v>
      </c>
      <c r="J180" s="250"/>
      <c r="K180" s="250">
        <v>0.23174839767476524</v>
      </c>
      <c r="L180" s="250">
        <v>0.3167139227455168</v>
      </c>
      <c r="M180" s="250">
        <v>0.5526292203884614</v>
      </c>
    </row>
    <row r="181" spans="1:15" ht="12.75">
      <c r="A181" s="32" t="s">
        <v>134</v>
      </c>
      <c r="B181" s="237">
        <v>0.0071431478692661485</v>
      </c>
      <c r="C181" s="237">
        <v>0.4168061412448924</v>
      </c>
      <c r="D181" s="237">
        <v>0.43991263713937423</v>
      </c>
      <c r="E181" s="237">
        <v>0.39628506200495184</v>
      </c>
      <c r="F181" s="237">
        <v>0.2571825205214872</v>
      </c>
      <c r="G181" s="237">
        <v>0.2964641294638491</v>
      </c>
      <c r="H181" s="237">
        <v>0.017952873706520385</v>
      </c>
      <c r="I181" s="237">
        <v>0.016933669693787727</v>
      </c>
      <c r="J181" s="237"/>
      <c r="K181" s="237">
        <v>0.20900817074234537</v>
      </c>
      <c r="L181" s="237">
        <v>0.31003674616326826</v>
      </c>
      <c r="M181" s="237">
        <v>0.24505321765842303</v>
      </c>
      <c r="O181" s="38" t="s">
        <v>152</v>
      </c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 s="37" t="s">
        <v>62</v>
      </c>
      <c r="B183"/>
      <c r="C183"/>
      <c r="D183"/>
      <c r="E183"/>
      <c r="F183"/>
      <c r="G183"/>
      <c r="H183"/>
      <c r="I183"/>
    </row>
    <row r="184" spans="1:15" ht="12.75">
      <c r="A184" s="27" t="s">
        <v>20</v>
      </c>
      <c r="B184" s="134" t="s">
        <v>7</v>
      </c>
      <c r="C184" s="134" t="s">
        <v>8</v>
      </c>
      <c r="D184" s="134" t="s">
        <v>9</v>
      </c>
      <c r="E184" s="134" t="s">
        <v>56</v>
      </c>
      <c r="F184" s="134" t="s">
        <v>11</v>
      </c>
      <c r="G184" s="134" t="s">
        <v>57</v>
      </c>
      <c r="H184" s="134" t="s">
        <v>177</v>
      </c>
      <c r="I184" s="134" t="s">
        <v>12</v>
      </c>
      <c r="J184" s="134" t="s">
        <v>23</v>
      </c>
      <c r="K184" s="134" t="s">
        <v>13</v>
      </c>
      <c r="L184" s="134" t="s">
        <v>16</v>
      </c>
      <c r="M184" s="134" t="s">
        <v>14</v>
      </c>
      <c r="O184" s="38" t="s">
        <v>153</v>
      </c>
    </row>
    <row r="185" spans="1:15" ht="12.75">
      <c r="A185" s="137">
        <f aca="true" t="shared" si="128" ref="A185:A196">A141</f>
        <v>43009</v>
      </c>
      <c r="B185" s="238">
        <v>4138</v>
      </c>
      <c r="C185" s="238">
        <v>8310</v>
      </c>
      <c r="D185" s="238">
        <v>1794</v>
      </c>
      <c r="E185" s="238">
        <v>8483</v>
      </c>
      <c r="F185" s="238">
        <v>1289</v>
      </c>
      <c r="G185" s="238">
        <v>13743</v>
      </c>
      <c r="H185" s="238">
        <v>12539</v>
      </c>
      <c r="I185" s="238">
        <v>45350</v>
      </c>
      <c r="J185" s="238"/>
      <c r="K185" s="238">
        <v>3478</v>
      </c>
      <c r="L185" s="238">
        <v>2494</v>
      </c>
      <c r="M185" s="238">
        <v>7336</v>
      </c>
      <c r="O185" s="38"/>
    </row>
    <row r="186" spans="1:13" ht="12.75">
      <c r="A186" s="137">
        <f t="shared" si="128"/>
        <v>43040</v>
      </c>
      <c r="B186" s="238">
        <v>4828</v>
      </c>
      <c r="C186" s="238">
        <v>9912</v>
      </c>
      <c r="D186" s="238">
        <v>2074</v>
      </c>
      <c r="E186" s="238">
        <v>9994</v>
      </c>
      <c r="F186" s="238">
        <v>1396</v>
      </c>
      <c r="G186" s="238">
        <v>14804</v>
      </c>
      <c r="H186" s="238">
        <v>8290</v>
      </c>
      <c r="I186" s="238">
        <v>49785</v>
      </c>
      <c r="J186" s="238"/>
      <c r="K186" s="238">
        <v>3271</v>
      </c>
      <c r="L186" s="238">
        <v>2648</v>
      </c>
      <c r="M186" s="238">
        <v>7974</v>
      </c>
    </row>
    <row r="187" spans="1:13" ht="12.75">
      <c r="A187" s="137">
        <f t="shared" si="128"/>
        <v>43070</v>
      </c>
      <c r="B187" s="238">
        <v>3460</v>
      </c>
      <c r="C187" s="238">
        <v>7725</v>
      </c>
      <c r="D187" s="238">
        <v>1673</v>
      </c>
      <c r="E187" s="238">
        <v>5449</v>
      </c>
      <c r="F187" s="238">
        <v>1065</v>
      </c>
      <c r="G187" s="238">
        <v>11823</v>
      </c>
      <c r="H187" s="238">
        <v>9468</v>
      </c>
      <c r="I187" s="238">
        <v>49391</v>
      </c>
      <c r="J187" s="238"/>
      <c r="K187" s="238">
        <v>2463</v>
      </c>
      <c r="L187" s="238">
        <v>2119</v>
      </c>
      <c r="M187" s="238">
        <v>6026</v>
      </c>
    </row>
    <row r="188" spans="1:13" ht="12.75">
      <c r="A188" s="137">
        <f t="shared" si="128"/>
        <v>43101</v>
      </c>
      <c r="B188" s="238">
        <v>3612</v>
      </c>
      <c r="C188" s="238">
        <v>7989</v>
      </c>
      <c r="D188" s="238">
        <v>1746</v>
      </c>
      <c r="E188" s="238">
        <v>5105</v>
      </c>
      <c r="F188" s="238">
        <v>1382</v>
      </c>
      <c r="G188" s="238">
        <v>13623</v>
      </c>
      <c r="H188" s="238">
        <v>12495</v>
      </c>
      <c r="I188" s="238">
        <v>55872</v>
      </c>
      <c r="J188" s="238"/>
      <c r="K188" s="238">
        <v>3017</v>
      </c>
      <c r="L188" s="238">
        <v>2262</v>
      </c>
      <c r="M188" s="238">
        <v>7622</v>
      </c>
    </row>
    <row r="189" spans="1:13" ht="12.75">
      <c r="A189" s="137">
        <f t="shared" si="128"/>
        <v>43132</v>
      </c>
      <c r="B189" s="238">
        <v>3933</v>
      </c>
      <c r="C189" s="238">
        <v>8399</v>
      </c>
      <c r="D189" s="238">
        <v>1624</v>
      </c>
      <c r="E189" s="238">
        <v>7834</v>
      </c>
      <c r="F189" s="238">
        <v>1231</v>
      </c>
      <c r="G189" s="238">
        <v>12547</v>
      </c>
      <c r="H189" s="238">
        <v>14730</v>
      </c>
      <c r="I189" s="238">
        <v>50857</v>
      </c>
      <c r="J189" s="238"/>
      <c r="K189" s="238">
        <v>2831</v>
      </c>
      <c r="L189" s="238">
        <v>2469</v>
      </c>
      <c r="M189" s="238">
        <v>8031</v>
      </c>
    </row>
    <row r="190" spans="1:13" ht="12.75">
      <c r="A190" s="137">
        <f t="shared" si="128"/>
        <v>43160</v>
      </c>
      <c r="B190" s="238">
        <v>4705</v>
      </c>
      <c r="C190" s="238">
        <v>10102</v>
      </c>
      <c r="D190" s="238">
        <v>1850</v>
      </c>
      <c r="E190" s="238">
        <v>10107</v>
      </c>
      <c r="F190" s="238">
        <v>1393</v>
      </c>
      <c r="G190" s="238">
        <v>15770</v>
      </c>
      <c r="H190" s="238">
        <v>17410</v>
      </c>
      <c r="I190" s="238">
        <v>55175</v>
      </c>
      <c r="J190" s="238"/>
      <c r="K190" s="238">
        <v>3486</v>
      </c>
      <c r="L190" s="238">
        <v>2788</v>
      </c>
      <c r="M190" s="238">
        <v>8461</v>
      </c>
    </row>
    <row r="191" spans="1:13" ht="12.75">
      <c r="A191" s="137">
        <f t="shared" si="128"/>
        <v>43191</v>
      </c>
      <c r="B191" s="238">
        <v>4309</v>
      </c>
      <c r="C191" s="238">
        <v>10116</v>
      </c>
      <c r="D191" s="238">
        <v>1781</v>
      </c>
      <c r="E191" s="238">
        <v>9904</v>
      </c>
      <c r="F191" s="238">
        <v>1546</v>
      </c>
      <c r="G191" s="238">
        <v>15539</v>
      </c>
      <c r="H191" s="238">
        <v>16745</v>
      </c>
      <c r="I191" s="238">
        <v>47716</v>
      </c>
      <c r="J191" s="238"/>
      <c r="K191" s="238">
        <v>3357</v>
      </c>
      <c r="L191" s="238">
        <v>2644</v>
      </c>
      <c r="M191" s="238">
        <v>8373</v>
      </c>
    </row>
    <row r="192" spans="1:13" ht="12.75">
      <c r="A192" s="137">
        <f t="shared" si="128"/>
        <v>43221</v>
      </c>
      <c r="B192" s="238">
        <v>4606</v>
      </c>
      <c r="C192" s="238">
        <v>11646</v>
      </c>
      <c r="D192" s="238">
        <v>1978</v>
      </c>
      <c r="E192" s="238">
        <v>10043</v>
      </c>
      <c r="F192" s="238">
        <v>1736</v>
      </c>
      <c r="G192" s="238">
        <v>14961</v>
      </c>
      <c r="H192" s="238">
        <v>13340</v>
      </c>
      <c r="I192" s="238">
        <v>48056</v>
      </c>
      <c r="J192" s="238"/>
      <c r="K192" s="238">
        <v>3004</v>
      </c>
      <c r="L192" s="238">
        <v>2623</v>
      </c>
      <c r="M192" s="238">
        <v>7865</v>
      </c>
    </row>
    <row r="193" spans="1:13" ht="12.75">
      <c r="A193" s="137">
        <f t="shared" si="128"/>
        <v>43252</v>
      </c>
      <c r="B193" s="238">
        <v>3849</v>
      </c>
      <c r="C193" s="238">
        <v>9393</v>
      </c>
      <c r="D193" s="238">
        <v>1612</v>
      </c>
      <c r="E193" s="238">
        <v>8569</v>
      </c>
      <c r="F193" s="238">
        <v>1436</v>
      </c>
      <c r="G193" s="238">
        <v>12192</v>
      </c>
      <c r="H193" s="238">
        <v>9634</v>
      </c>
      <c r="I193" s="238">
        <v>42250</v>
      </c>
      <c r="J193" s="238"/>
      <c r="K193" s="238">
        <v>2599</v>
      </c>
      <c r="L193" s="238">
        <v>2370</v>
      </c>
      <c r="M193" s="238">
        <v>5919</v>
      </c>
    </row>
    <row r="194" spans="1:13" ht="12.75">
      <c r="A194" s="137">
        <f t="shared" si="128"/>
        <v>43282</v>
      </c>
      <c r="B194" s="238">
        <v>3578</v>
      </c>
      <c r="C194" s="238">
        <v>8595</v>
      </c>
      <c r="D194" s="238">
        <v>1609</v>
      </c>
      <c r="E194" s="238">
        <v>8316</v>
      </c>
      <c r="F194" s="238">
        <v>1505</v>
      </c>
      <c r="G194" s="238">
        <v>11986</v>
      </c>
      <c r="H194" s="238">
        <v>12399</v>
      </c>
      <c r="I194" s="238">
        <v>42929</v>
      </c>
      <c r="J194" s="238"/>
      <c r="K194" s="238">
        <v>2448</v>
      </c>
      <c r="L194" s="238">
        <v>2324</v>
      </c>
      <c r="M194" s="238">
        <v>5969</v>
      </c>
    </row>
    <row r="195" spans="1:13" ht="12.75">
      <c r="A195" s="137">
        <f t="shared" si="128"/>
        <v>43313</v>
      </c>
      <c r="B195" s="238">
        <v>3614</v>
      </c>
      <c r="C195" s="238">
        <v>10145</v>
      </c>
      <c r="D195" s="238">
        <v>1585</v>
      </c>
      <c r="E195" s="238">
        <v>8233</v>
      </c>
      <c r="F195" s="238">
        <v>1794</v>
      </c>
      <c r="G195" s="238">
        <v>12204</v>
      </c>
      <c r="H195" s="238">
        <v>12119</v>
      </c>
      <c r="I195" s="238">
        <v>47773</v>
      </c>
      <c r="J195" s="238"/>
      <c r="K195" s="238">
        <v>2860</v>
      </c>
      <c r="L195" s="238">
        <v>2293</v>
      </c>
      <c r="M195" s="238">
        <v>6042</v>
      </c>
    </row>
    <row r="196" spans="1:13" ht="12.75">
      <c r="A196" s="137">
        <f t="shared" si="128"/>
        <v>43344</v>
      </c>
      <c r="B196" s="238">
        <v>6907</v>
      </c>
      <c r="C196" s="238">
        <v>11263</v>
      </c>
      <c r="D196" s="238">
        <v>1647</v>
      </c>
      <c r="E196" s="238">
        <v>8742</v>
      </c>
      <c r="F196" s="238">
        <v>1813</v>
      </c>
      <c r="G196" s="238">
        <v>12675</v>
      </c>
      <c r="H196" s="238">
        <v>7609</v>
      </c>
      <c r="I196" s="238">
        <v>49312</v>
      </c>
      <c r="J196" s="238"/>
      <c r="K196" s="238">
        <v>3222</v>
      </c>
      <c r="L196" s="238">
        <v>2454</v>
      </c>
      <c r="M196" s="238">
        <v>6805</v>
      </c>
    </row>
    <row r="197" spans="1:13" ht="12.75">
      <c r="A197" s="190" t="s">
        <v>61</v>
      </c>
      <c r="B197" s="155">
        <f>SUM(B185:B196)</f>
        <v>51539</v>
      </c>
      <c r="C197" s="155">
        <f aca="true" t="shared" si="129" ref="C197:M197">SUM(C185:C196)</f>
        <v>113595</v>
      </c>
      <c r="D197" s="155">
        <f t="shared" si="129"/>
        <v>20973</v>
      </c>
      <c r="E197" s="155">
        <f t="shared" si="129"/>
        <v>100779</v>
      </c>
      <c r="F197" s="155">
        <f t="shared" si="129"/>
        <v>17586</v>
      </c>
      <c r="G197" s="155">
        <f t="shared" si="129"/>
        <v>161867</v>
      </c>
      <c r="H197" s="155">
        <f t="shared" si="129"/>
        <v>146778</v>
      </c>
      <c r="I197" s="155">
        <f t="shared" si="129"/>
        <v>584466</v>
      </c>
      <c r="J197" s="155">
        <f t="shared" si="129"/>
        <v>0</v>
      </c>
      <c r="K197" s="155">
        <f t="shared" si="129"/>
        <v>36036</v>
      </c>
      <c r="L197" s="155">
        <f t="shared" si="129"/>
        <v>29488</v>
      </c>
      <c r="M197" s="155">
        <f t="shared" si="129"/>
        <v>86423</v>
      </c>
    </row>
    <row r="198" spans="1:13" ht="12.75">
      <c r="A198" s="191" t="s">
        <v>36</v>
      </c>
      <c r="B198" s="147">
        <f>AVERAGE(B185:B196)</f>
        <v>4294.916666666667</v>
      </c>
      <c r="C198" s="147">
        <f aca="true" t="shared" si="130" ref="C198:M198">AVERAGE(C185:C196)</f>
        <v>9466.25</v>
      </c>
      <c r="D198" s="147">
        <f t="shared" si="130"/>
        <v>1747.75</v>
      </c>
      <c r="E198" s="147">
        <f t="shared" si="130"/>
        <v>8398.25</v>
      </c>
      <c r="F198" s="147">
        <f t="shared" si="130"/>
        <v>1465.5</v>
      </c>
      <c r="G198" s="147">
        <f t="shared" si="130"/>
        <v>13488.916666666666</v>
      </c>
      <c r="H198" s="147">
        <f t="shared" si="130"/>
        <v>12231.5</v>
      </c>
      <c r="I198" s="147">
        <f t="shared" si="130"/>
        <v>48705.5</v>
      </c>
      <c r="J198" s="147"/>
      <c r="K198" s="147">
        <f t="shared" si="130"/>
        <v>3003</v>
      </c>
      <c r="L198" s="147">
        <f t="shared" si="130"/>
        <v>2457.3333333333335</v>
      </c>
      <c r="M198" s="147">
        <f t="shared" si="130"/>
        <v>7201.916666666667</v>
      </c>
    </row>
    <row r="199" spans="1:15" ht="12.75">
      <c r="A199" s="206" t="s">
        <v>143</v>
      </c>
      <c r="B199" s="274">
        <v>49138</v>
      </c>
      <c r="C199" s="274">
        <v>106949</v>
      </c>
      <c r="D199" s="274">
        <v>19688</v>
      </c>
      <c r="E199" s="274">
        <v>93299</v>
      </c>
      <c r="F199" s="274">
        <v>16568</v>
      </c>
      <c r="G199" s="274">
        <v>153371</v>
      </c>
      <c r="H199" s="274">
        <v>136357</v>
      </c>
      <c r="I199" s="274">
        <v>541879</v>
      </c>
      <c r="J199" s="274"/>
      <c r="K199" s="274">
        <v>34391</v>
      </c>
      <c r="L199" s="274">
        <v>27758</v>
      </c>
      <c r="M199" s="274">
        <v>83337</v>
      </c>
      <c r="N199" s="38"/>
      <c r="O199" s="38" t="s">
        <v>158</v>
      </c>
    </row>
    <row r="200" spans="1:15" ht="12.75">
      <c r="A200" s="206" t="s">
        <v>144</v>
      </c>
      <c r="B200" s="166">
        <v>40974</v>
      </c>
      <c r="C200" s="166">
        <v>70696</v>
      </c>
      <c r="D200" s="166">
        <v>11549</v>
      </c>
      <c r="E200" s="166">
        <v>118779</v>
      </c>
      <c r="F200" s="166">
        <v>15823</v>
      </c>
      <c r="G200" s="166">
        <v>141014</v>
      </c>
      <c r="H200" s="166">
        <v>169008</v>
      </c>
      <c r="I200" s="166">
        <v>572807</v>
      </c>
      <c r="J200" s="166"/>
      <c r="K200" s="166">
        <v>33545</v>
      </c>
      <c r="L200" s="166">
        <v>27157</v>
      </c>
      <c r="M200" s="166">
        <v>78103</v>
      </c>
      <c r="N200" s="38"/>
      <c r="O200" s="38"/>
    </row>
    <row r="201" spans="1:12" ht="12.75">
      <c r="A201" s="39"/>
      <c r="B201" s="21"/>
      <c r="C201" s="21"/>
      <c r="D201" s="21"/>
      <c r="E201" s="21"/>
      <c r="F201" s="21"/>
      <c r="G201" s="8"/>
      <c r="H201" s="8"/>
      <c r="I201" s="8"/>
      <c r="J201" s="8"/>
      <c r="K201" s="8"/>
      <c r="L201" s="8"/>
    </row>
    <row r="202" spans="2:13" ht="12.75">
      <c r="B202" s="345" t="s">
        <v>63</v>
      </c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</row>
    <row r="203" spans="1:14" ht="26.25">
      <c r="A203" s="180" t="s">
        <v>20</v>
      </c>
      <c r="B203" s="181" t="s">
        <v>7</v>
      </c>
      <c r="C203" s="181" t="s">
        <v>8</v>
      </c>
      <c r="D203" s="181" t="s">
        <v>9</v>
      </c>
      <c r="E203" s="181" t="s">
        <v>10</v>
      </c>
      <c r="F203" s="181" t="s">
        <v>11</v>
      </c>
      <c r="G203" s="182" t="s">
        <v>18</v>
      </c>
      <c r="H203" s="183" t="s">
        <v>177</v>
      </c>
      <c r="I203" s="182" t="s">
        <v>12</v>
      </c>
      <c r="J203" s="182" t="str">
        <f>J184</f>
        <v>OB.DAAC</v>
      </c>
      <c r="K203" s="182" t="s">
        <v>13</v>
      </c>
      <c r="L203" s="182" t="s">
        <v>16</v>
      </c>
      <c r="M203" s="182" t="s">
        <v>14</v>
      </c>
      <c r="N203" s="179"/>
    </row>
    <row r="204" spans="1:14" ht="12.75">
      <c r="A204" s="184">
        <f aca="true" t="shared" si="131" ref="A204:A215">A141</f>
        <v>43009</v>
      </c>
      <c r="B204" s="185">
        <f>B185-B$198</f>
        <v>-156.91666666666697</v>
      </c>
      <c r="C204" s="185">
        <f aca="true" t="shared" si="132" ref="C204:I204">C185-C$198</f>
        <v>-1156.25</v>
      </c>
      <c r="D204" s="185">
        <f t="shared" si="132"/>
        <v>46.25</v>
      </c>
      <c r="E204" s="185">
        <f t="shared" si="132"/>
        <v>84.75</v>
      </c>
      <c r="F204" s="185">
        <f t="shared" si="132"/>
        <v>-176.5</v>
      </c>
      <c r="G204" s="185">
        <f t="shared" si="132"/>
        <v>254.08333333333394</v>
      </c>
      <c r="H204" s="185">
        <f t="shared" si="132"/>
        <v>307.5</v>
      </c>
      <c r="I204" s="185">
        <f t="shared" si="132"/>
        <v>-3355.5</v>
      </c>
      <c r="J204" s="185"/>
      <c r="K204" s="185">
        <f aca="true" t="shared" si="133" ref="K204:M215">K185-K$198</f>
        <v>475</v>
      </c>
      <c r="L204" s="185">
        <f t="shared" si="133"/>
        <v>36.666666666666515</v>
      </c>
      <c r="M204" s="185">
        <f t="shared" si="133"/>
        <v>134.08333333333303</v>
      </c>
      <c r="N204" s="21"/>
    </row>
    <row r="205" spans="1:14" ht="12.75">
      <c r="A205" s="184">
        <f t="shared" si="131"/>
        <v>43040</v>
      </c>
      <c r="B205" s="185">
        <f aca="true" t="shared" si="134" ref="B205:I205">B186-B$198</f>
        <v>533.083333333333</v>
      </c>
      <c r="C205" s="185">
        <f t="shared" si="134"/>
        <v>445.75</v>
      </c>
      <c r="D205" s="185">
        <f t="shared" si="134"/>
        <v>326.25</v>
      </c>
      <c r="E205" s="185">
        <f t="shared" si="134"/>
        <v>1595.75</v>
      </c>
      <c r="F205" s="185">
        <f t="shared" si="134"/>
        <v>-69.5</v>
      </c>
      <c r="G205" s="185">
        <f t="shared" si="134"/>
        <v>1315.083333333334</v>
      </c>
      <c r="H205" s="185">
        <f t="shared" si="134"/>
        <v>-3941.5</v>
      </c>
      <c r="I205" s="185">
        <f t="shared" si="134"/>
        <v>1079.5</v>
      </c>
      <c r="J205" s="185"/>
      <c r="K205" s="185">
        <f t="shared" si="133"/>
        <v>268</v>
      </c>
      <c r="L205" s="185">
        <f t="shared" si="133"/>
        <v>190.66666666666652</v>
      </c>
      <c r="M205" s="185">
        <f t="shared" si="133"/>
        <v>772.083333333333</v>
      </c>
      <c r="N205" s="21"/>
    </row>
    <row r="206" spans="1:14" ht="12.75">
      <c r="A206" s="184">
        <f t="shared" si="131"/>
        <v>43070</v>
      </c>
      <c r="B206" s="185">
        <f aca="true" t="shared" si="135" ref="B206:I206">B187-B$198</f>
        <v>-834.916666666667</v>
      </c>
      <c r="C206" s="185">
        <f t="shared" si="135"/>
        <v>-1741.25</v>
      </c>
      <c r="D206" s="185">
        <f t="shared" si="135"/>
        <v>-74.75</v>
      </c>
      <c r="E206" s="185">
        <f t="shared" si="135"/>
        <v>-2949.25</v>
      </c>
      <c r="F206" s="185">
        <f t="shared" si="135"/>
        <v>-400.5</v>
      </c>
      <c r="G206" s="185">
        <f t="shared" si="135"/>
        <v>-1665.916666666666</v>
      </c>
      <c r="H206" s="185">
        <f t="shared" si="135"/>
        <v>-2763.5</v>
      </c>
      <c r="I206" s="185">
        <f t="shared" si="135"/>
        <v>685.5</v>
      </c>
      <c r="J206" s="185"/>
      <c r="K206" s="185">
        <f t="shared" si="133"/>
        <v>-540</v>
      </c>
      <c r="L206" s="185">
        <f t="shared" si="133"/>
        <v>-338.3333333333335</v>
      </c>
      <c r="M206" s="185">
        <f t="shared" si="133"/>
        <v>-1175.916666666667</v>
      </c>
      <c r="N206" s="21"/>
    </row>
    <row r="207" spans="1:14" ht="12.75">
      <c r="A207" s="184">
        <f t="shared" si="131"/>
        <v>43101</v>
      </c>
      <c r="B207" s="185">
        <f aca="true" t="shared" si="136" ref="B207:I207">B188-B$198</f>
        <v>-682.916666666667</v>
      </c>
      <c r="C207" s="185">
        <f t="shared" si="136"/>
        <v>-1477.25</v>
      </c>
      <c r="D207" s="185">
        <f t="shared" si="136"/>
        <v>-1.75</v>
      </c>
      <c r="E207" s="185">
        <f t="shared" si="136"/>
        <v>-3293.25</v>
      </c>
      <c r="F207" s="185">
        <f t="shared" si="136"/>
        <v>-83.5</v>
      </c>
      <c r="G207" s="185">
        <f t="shared" si="136"/>
        <v>134.08333333333394</v>
      </c>
      <c r="H207" s="185">
        <f t="shared" si="136"/>
        <v>263.5</v>
      </c>
      <c r="I207" s="185">
        <f t="shared" si="136"/>
        <v>7166.5</v>
      </c>
      <c r="J207" s="185"/>
      <c r="K207" s="185">
        <f t="shared" si="133"/>
        <v>14</v>
      </c>
      <c r="L207" s="185">
        <f t="shared" si="133"/>
        <v>-195.33333333333348</v>
      </c>
      <c r="M207" s="185">
        <f t="shared" si="133"/>
        <v>420.08333333333303</v>
      </c>
      <c r="N207" s="21"/>
    </row>
    <row r="208" spans="1:14" ht="12.75">
      <c r="A208" s="184">
        <f t="shared" si="131"/>
        <v>43132</v>
      </c>
      <c r="B208" s="185">
        <f aca="true" t="shared" si="137" ref="B208:I208">B189-B$198</f>
        <v>-361.91666666666697</v>
      </c>
      <c r="C208" s="185">
        <f t="shared" si="137"/>
        <v>-1067.25</v>
      </c>
      <c r="D208" s="185">
        <f t="shared" si="137"/>
        <v>-123.75</v>
      </c>
      <c r="E208" s="185">
        <f t="shared" si="137"/>
        <v>-564.25</v>
      </c>
      <c r="F208" s="185">
        <f t="shared" si="137"/>
        <v>-234.5</v>
      </c>
      <c r="G208" s="185">
        <f t="shared" si="137"/>
        <v>-941.9166666666661</v>
      </c>
      <c r="H208" s="185">
        <f t="shared" si="137"/>
        <v>2498.5</v>
      </c>
      <c r="I208" s="185">
        <f t="shared" si="137"/>
        <v>2151.5</v>
      </c>
      <c r="J208" s="185"/>
      <c r="K208" s="185">
        <f t="shared" si="133"/>
        <v>-172</v>
      </c>
      <c r="L208" s="185">
        <f t="shared" si="133"/>
        <v>11.666666666666515</v>
      </c>
      <c r="M208" s="185">
        <f t="shared" si="133"/>
        <v>829.083333333333</v>
      </c>
      <c r="N208" s="21"/>
    </row>
    <row r="209" spans="1:14" ht="12.75">
      <c r="A209" s="184">
        <f t="shared" si="131"/>
        <v>43160</v>
      </c>
      <c r="B209" s="185">
        <f aca="true" t="shared" si="138" ref="B209:I209">B190-B$198</f>
        <v>410.08333333333303</v>
      </c>
      <c r="C209" s="185">
        <f t="shared" si="138"/>
        <v>635.75</v>
      </c>
      <c r="D209" s="185">
        <f t="shared" si="138"/>
        <v>102.25</v>
      </c>
      <c r="E209" s="185">
        <f t="shared" si="138"/>
        <v>1708.75</v>
      </c>
      <c r="F209" s="185">
        <f t="shared" si="138"/>
        <v>-72.5</v>
      </c>
      <c r="G209" s="185">
        <f t="shared" si="138"/>
        <v>2281.083333333334</v>
      </c>
      <c r="H209" s="185">
        <f t="shared" si="138"/>
        <v>5178.5</v>
      </c>
      <c r="I209" s="185">
        <f t="shared" si="138"/>
        <v>6469.5</v>
      </c>
      <c r="J209" s="185"/>
      <c r="K209" s="185">
        <f t="shared" si="133"/>
        <v>483</v>
      </c>
      <c r="L209" s="185">
        <f t="shared" si="133"/>
        <v>330.6666666666665</v>
      </c>
      <c r="M209" s="185">
        <f t="shared" si="133"/>
        <v>1259.083333333333</v>
      </c>
      <c r="N209" s="21"/>
    </row>
    <row r="210" spans="1:14" ht="12.75">
      <c r="A210" s="184">
        <f t="shared" si="131"/>
        <v>43191</v>
      </c>
      <c r="B210" s="185">
        <f aca="true" t="shared" si="139" ref="B210:I210">B191-B$198</f>
        <v>14.08333333333303</v>
      </c>
      <c r="C210" s="185">
        <f t="shared" si="139"/>
        <v>649.75</v>
      </c>
      <c r="D210" s="185">
        <f t="shared" si="139"/>
        <v>33.25</v>
      </c>
      <c r="E210" s="185">
        <f t="shared" si="139"/>
        <v>1505.75</v>
      </c>
      <c r="F210" s="185">
        <f t="shared" si="139"/>
        <v>80.5</v>
      </c>
      <c r="G210" s="185">
        <f t="shared" si="139"/>
        <v>2050.083333333334</v>
      </c>
      <c r="H210" s="185">
        <f t="shared" si="139"/>
        <v>4513.5</v>
      </c>
      <c r="I210" s="185">
        <f t="shared" si="139"/>
        <v>-989.5</v>
      </c>
      <c r="J210" s="185"/>
      <c r="K210" s="185">
        <f t="shared" si="133"/>
        <v>354</v>
      </c>
      <c r="L210" s="185">
        <f t="shared" si="133"/>
        <v>186.66666666666652</v>
      </c>
      <c r="M210" s="185">
        <f t="shared" si="133"/>
        <v>1171.083333333333</v>
      </c>
      <c r="N210" s="21"/>
    </row>
    <row r="211" spans="1:14" ht="12.75">
      <c r="A211" s="184">
        <f t="shared" si="131"/>
        <v>43221</v>
      </c>
      <c r="B211" s="185">
        <f aca="true" t="shared" si="140" ref="B211:I211">B192-B$198</f>
        <v>311.08333333333303</v>
      </c>
      <c r="C211" s="185">
        <f t="shared" si="140"/>
        <v>2179.75</v>
      </c>
      <c r="D211" s="185">
        <f t="shared" si="140"/>
        <v>230.25</v>
      </c>
      <c r="E211" s="185">
        <f t="shared" si="140"/>
        <v>1644.75</v>
      </c>
      <c r="F211" s="185">
        <f t="shared" si="140"/>
        <v>270.5</v>
      </c>
      <c r="G211" s="185">
        <f t="shared" si="140"/>
        <v>1472.083333333334</v>
      </c>
      <c r="H211" s="185">
        <f t="shared" si="140"/>
        <v>1108.5</v>
      </c>
      <c r="I211" s="185">
        <f t="shared" si="140"/>
        <v>-649.5</v>
      </c>
      <c r="J211" s="185"/>
      <c r="K211" s="185">
        <f t="shared" si="133"/>
        <v>1</v>
      </c>
      <c r="L211" s="185">
        <f t="shared" si="133"/>
        <v>165.66666666666652</v>
      </c>
      <c r="M211" s="185">
        <f t="shared" si="133"/>
        <v>663.083333333333</v>
      </c>
      <c r="N211" s="21"/>
    </row>
    <row r="212" spans="1:14" ht="12.75">
      <c r="A212" s="184">
        <f t="shared" si="131"/>
        <v>43252</v>
      </c>
      <c r="B212" s="185">
        <f aca="true" t="shared" si="141" ref="B212:I212">B193-B$198</f>
        <v>-445.91666666666697</v>
      </c>
      <c r="C212" s="185">
        <f t="shared" si="141"/>
        <v>-73.25</v>
      </c>
      <c r="D212" s="185">
        <f t="shared" si="141"/>
        <v>-135.75</v>
      </c>
      <c r="E212" s="185">
        <f t="shared" si="141"/>
        <v>170.75</v>
      </c>
      <c r="F212" s="185">
        <f t="shared" si="141"/>
        <v>-29.5</v>
      </c>
      <c r="G212" s="185">
        <f t="shared" si="141"/>
        <v>-1296.916666666666</v>
      </c>
      <c r="H212" s="185">
        <f t="shared" si="141"/>
        <v>-2597.5</v>
      </c>
      <c r="I212" s="185">
        <f t="shared" si="141"/>
        <v>-6455.5</v>
      </c>
      <c r="J212" s="185"/>
      <c r="K212" s="185">
        <f t="shared" si="133"/>
        <v>-404</v>
      </c>
      <c r="L212" s="185">
        <f t="shared" si="133"/>
        <v>-87.33333333333348</v>
      </c>
      <c r="M212" s="185">
        <f t="shared" si="133"/>
        <v>-1282.916666666667</v>
      </c>
      <c r="N212" s="21"/>
    </row>
    <row r="213" spans="1:14" ht="12.75">
      <c r="A213" s="184">
        <f t="shared" si="131"/>
        <v>43282</v>
      </c>
      <c r="B213" s="185">
        <f aca="true" t="shared" si="142" ref="B213:I213">B194-B$198</f>
        <v>-716.916666666667</v>
      </c>
      <c r="C213" s="185">
        <f t="shared" si="142"/>
        <v>-871.25</v>
      </c>
      <c r="D213" s="185">
        <f t="shared" si="142"/>
        <v>-138.75</v>
      </c>
      <c r="E213" s="185">
        <f t="shared" si="142"/>
        <v>-82.25</v>
      </c>
      <c r="F213" s="185">
        <f t="shared" si="142"/>
        <v>39.5</v>
      </c>
      <c r="G213" s="185">
        <f t="shared" si="142"/>
        <v>-1502.916666666666</v>
      </c>
      <c r="H213" s="185">
        <f t="shared" si="142"/>
        <v>167.5</v>
      </c>
      <c r="I213" s="185">
        <f t="shared" si="142"/>
        <v>-5776.5</v>
      </c>
      <c r="J213" s="185"/>
      <c r="K213" s="185">
        <f t="shared" si="133"/>
        <v>-555</v>
      </c>
      <c r="L213" s="185">
        <f t="shared" si="133"/>
        <v>-133.33333333333348</v>
      </c>
      <c r="M213" s="185">
        <f t="shared" si="133"/>
        <v>-1232.916666666667</v>
      </c>
      <c r="N213" s="21"/>
    </row>
    <row r="214" spans="1:14" ht="12.75">
      <c r="A214" s="184">
        <f t="shared" si="131"/>
        <v>43313</v>
      </c>
      <c r="B214" s="185">
        <f aca="true" t="shared" si="143" ref="B214:I214">B195-B$198</f>
        <v>-680.916666666667</v>
      </c>
      <c r="C214" s="185">
        <f t="shared" si="143"/>
        <v>678.75</v>
      </c>
      <c r="D214" s="185">
        <f t="shared" si="143"/>
        <v>-162.75</v>
      </c>
      <c r="E214" s="185">
        <f t="shared" si="143"/>
        <v>-165.25</v>
      </c>
      <c r="F214" s="185">
        <f t="shared" si="143"/>
        <v>328.5</v>
      </c>
      <c r="G214" s="185">
        <f t="shared" si="143"/>
        <v>-1284.916666666666</v>
      </c>
      <c r="H214" s="185">
        <f t="shared" si="143"/>
        <v>-112.5</v>
      </c>
      <c r="I214" s="185">
        <f t="shared" si="143"/>
        <v>-932.5</v>
      </c>
      <c r="J214" s="185"/>
      <c r="K214" s="185">
        <f t="shared" si="133"/>
        <v>-143</v>
      </c>
      <c r="L214" s="185">
        <f t="shared" si="133"/>
        <v>-164.33333333333348</v>
      </c>
      <c r="M214" s="185">
        <f t="shared" si="133"/>
        <v>-1159.916666666667</v>
      </c>
      <c r="N214" s="21"/>
    </row>
    <row r="215" spans="1:14" ht="12.75">
      <c r="A215" s="184">
        <f t="shared" si="131"/>
        <v>43344</v>
      </c>
      <c r="B215" s="185">
        <f aca="true" t="shared" si="144" ref="B215:I215">B196-B$198</f>
        <v>2612.083333333333</v>
      </c>
      <c r="C215" s="185">
        <f t="shared" si="144"/>
        <v>1796.75</v>
      </c>
      <c r="D215" s="185">
        <f t="shared" si="144"/>
        <v>-100.75</v>
      </c>
      <c r="E215" s="185">
        <f t="shared" si="144"/>
        <v>343.75</v>
      </c>
      <c r="F215" s="185">
        <f t="shared" si="144"/>
        <v>347.5</v>
      </c>
      <c r="G215" s="185">
        <f t="shared" si="144"/>
        <v>-813.9166666666661</v>
      </c>
      <c r="H215" s="185">
        <f t="shared" si="144"/>
        <v>-4622.5</v>
      </c>
      <c r="I215" s="185">
        <f t="shared" si="144"/>
        <v>606.5</v>
      </c>
      <c r="J215" s="185"/>
      <c r="K215" s="185">
        <f t="shared" si="133"/>
        <v>219</v>
      </c>
      <c r="L215" s="185">
        <f t="shared" si="133"/>
        <v>-3.333333333333485</v>
      </c>
      <c r="M215" s="185">
        <f t="shared" si="133"/>
        <v>-396.91666666666697</v>
      </c>
      <c r="N215" s="21"/>
    </row>
    <row r="216" spans="1:14" ht="12.75">
      <c r="A216" s="135" t="s">
        <v>15</v>
      </c>
      <c r="B216" s="21">
        <f>SUM(B204:B215)</f>
        <v>-3.637978807091713E-12</v>
      </c>
      <c r="C216" s="21">
        <f aca="true" t="shared" si="145" ref="C216:M216">SUM(C204:C215)</f>
        <v>0</v>
      </c>
      <c r="D216" s="21">
        <f t="shared" si="145"/>
        <v>0</v>
      </c>
      <c r="E216" s="21">
        <f t="shared" si="145"/>
        <v>0</v>
      </c>
      <c r="F216" s="21">
        <f t="shared" si="145"/>
        <v>0</v>
      </c>
      <c r="G216" s="21">
        <f t="shared" si="145"/>
        <v>7.275957614183426E-12</v>
      </c>
      <c r="H216" s="21">
        <f t="shared" si="145"/>
        <v>0</v>
      </c>
      <c r="I216" s="21">
        <f t="shared" si="145"/>
        <v>0</v>
      </c>
      <c r="J216" s="21"/>
      <c r="K216" s="21">
        <f t="shared" si="145"/>
        <v>0</v>
      </c>
      <c r="L216" s="21">
        <f t="shared" si="145"/>
        <v>-1.8189894035458565E-12</v>
      </c>
      <c r="M216" s="21">
        <f t="shared" si="145"/>
        <v>-3.637978807091713E-12</v>
      </c>
      <c r="N216" s="21"/>
    </row>
    <row r="217" spans="2:13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2:13" ht="12.75">
      <c r="B218" s="349" t="s">
        <v>64</v>
      </c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</row>
    <row r="219" spans="1:14" ht="26.25">
      <c r="A219" s="186" t="s">
        <v>20</v>
      </c>
      <c r="B219" s="187" t="s">
        <v>7</v>
      </c>
      <c r="C219" s="187" t="s">
        <v>8</v>
      </c>
      <c r="D219" s="187" t="s">
        <v>9</v>
      </c>
      <c r="E219" s="187" t="s">
        <v>10</v>
      </c>
      <c r="F219" s="187" t="s">
        <v>11</v>
      </c>
      <c r="G219" s="187" t="s">
        <v>18</v>
      </c>
      <c r="H219" s="188" t="s">
        <v>177</v>
      </c>
      <c r="I219" s="187" t="s">
        <v>12</v>
      </c>
      <c r="J219" s="189" t="s">
        <v>23</v>
      </c>
      <c r="K219" s="187" t="s">
        <v>13</v>
      </c>
      <c r="L219" s="187" t="s">
        <v>16</v>
      </c>
      <c r="M219" s="187" t="s">
        <v>14</v>
      </c>
      <c r="N219" s="21"/>
    </row>
    <row r="220" spans="1:14" ht="12.75">
      <c r="A220" s="184">
        <f>A204</f>
        <v>43009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21"/>
    </row>
    <row r="221" spans="1:14" ht="12.75">
      <c r="A221" s="184">
        <f aca="true" t="shared" si="146" ref="A221:A231">A205</f>
        <v>43040</v>
      </c>
      <c r="B221" s="185">
        <f>B186-B185</f>
        <v>690</v>
      </c>
      <c r="C221" s="185">
        <f aca="true" t="shared" si="147" ref="C221:I221">C186-C185</f>
        <v>1602</v>
      </c>
      <c r="D221" s="185">
        <f t="shared" si="147"/>
        <v>280</v>
      </c>
      <c r="E221" s="185">
        <f t="shared" si="147"/>
        <v>1511</v>
      </c>
      <c r="F221" s="185">
        <f t="shared" si="147"/>
        <v>107</v>
      </c>
      <c r="G221" s="185">
        <f t="shared" si="147"/>
        <v>1061</v>
      </c>
      <c r="H221" s="185">
        <f t="shared" si="147"/>
        <v>-4249</v>
      </c>
      <c r="I221" s="185">
        <f t="shared" si="147"/>
        <v>4435</v>
      </c>
      <c r="J221" s="185"/>
      <c r="K221" s="185">
        <f aca="true" t="shared" si="148" ref="K221:M231">K186-K185</f>
        <v>-207</v>
      </c>
      <c r="L221" s="185">
        <f t="shared" si="148"/>
        <v>154</v>
      </c>
      <c r="M221" s="185">
        <f t="shared" si="148"/>
        <v>638</v>
      </c>
      <c r="N221" s="21"/>
    </row>
    <row r="222" spans="1:14" ht="12.75">
      <c r="A222" s="184">
        <f t="shared" si="146"/>
        <v>43070</v>
      </c>
      <c r="B222" s="185">
        <f aca="true" t="shared" si="149" ref="B222:I222">B187-B186</f>
        <v>-1368</v>
      </c>
      <c r="C222" s="185">
        <f t="shared" si="149"/>
        <v>-2187</v>
      </c>
      <c r="D222" s="185">
        <f t="shared" si="149"/>
        <v>-401</v>
      </c>
      <c r="E222" s="185">
        <f t="shared" si="149"/>
        <v>-4545</v>
      </c>
      <c r="F222" s="185">
        <f t="shared" si="149"/>
        <v>-331</v>
      </c>
      <c r="G222" s="185">
        <f t="shared" si="149"/>
        <v>-2981</v>
      </c>
      <c r="H222" s="185">
        <f t="shared" si="149"/>
        <v>1178</v>
      </c>
      <c r="I222" s="185">
        <f t="shared" si="149"/>
        <v>-394</v>
      </c>
      <c r="J222" s="185"/>
      <c r="K222" s="185">
        <f t="shared" si="148"/>
        <v>-808</v>
      </c>
      <c r="L222" s="185">
        <f t="shared" si="148"/>
        <v>-529</v>
      </c>
      <c r="M222" s="185">
        <f t="shared" si="148"/>
        <v>-1948</v>
      </c>
      <c r="N222" s="21"/>
    </row>
    <row r="223" spans="1:14" ht="12.75">
      <c r="A223" s="184">
        <f t="shared" si="146"/>
        <v>43101</v>
      </c>
      <c r="B223" s="185">
        <f aca="true" t="shared" si="150" ref="B223:I223">B188-B187</f>
        <v>152</v>
      </c>
      <c r="C223" s="185">
        <f t="shared" si="150"/>
        <v>264</v>
      </c>
      <c r="D223" s="185">
        <f t="shared" si="150"/>
        <v>73</v>
      </c>
      <c r="E223" s="185">
        <f t="shared" si="150"/>
        <v>-344</v>
      </c>
      <c r="F223" s="185">
        <f t="shared" si="150"/>
        <v>317</v>
      </c>
      <c r="G223" s="185">
        <f t="shared" si="150"/>
        <v>1800</v>
      </c>
      <c r="H223" s="185">
        <f t="shared" si="150"/>
        <v>3027</v>
      </c>
      <c r="I223" s="185">
        <f t="shared" si="150"/>
        <v>6481</v>
      </c>
      <c r="J223" s="185"/>
      <c r="K223" s="185">
        <f t="shared" si="148"/>
        <v>554</v>
      </c>
      <c r="L223" s="185">
        <f t="shared" si="148"/>
        <v>143</v>
      </c>
      <c r="M223" s="185">
        <f t="shared" si="148"/>
        <v>1596</v>
      </c>
      <c r="N223" s="21"/>
    </row>
    <row r="224" spans="1:14" ht="12.75">
      <c r="A224" s="184">
        <f t="shared" si="146"/>
        <v>43132</v>
      </c>
      <c r="B224" s="185">
        <f aca="true" t="shared" si="151" ref="B224:I224">B189-B188</f>
        <v>321</v>
      </c>
      <c r="C224" s="185">
        <f t="shared" si="151"/>
        <v>410</v>
      </c>
      <c r="D224" s="185">
        <f t="shared" si="151"/>
        <v>-122</v>
      </c>
      <c r="E224" s="185">
        <f t="shared" si="151"/>
        <v>2729</v>
      </c>
      <c r="F224" s="185">
        <f t="shared" si="151"/>
        <v>-151</v>
      </c>
      <c r="G224" s="185">
        <f t="shared" si="151"/>
        <v>-1076</v>
      </c>
      <c r="H224" s="185">
        <f t="shared" si="151"/>
        <v>2235</v>
      </c>
      <c r="I224" s="185">
        <f t="shared" si="151"/>
        <v>-5015</v>
      </c>
      <c r="J224" s="185"/>
      <c r="K224" s="185">
        <f t="shared" si="148"/>
        <v>-186</v>
      </c>
      <c r="L224" s="185">
        <f t="shared" si="148"/>
        <v>207</v>
      </c>
      <c r="M224" s="185">
        <f t="shared" si="148"/>
        <v>409</v>
      </c>
      <c r="N224" s="21"/>
    </row>
    <row r="225" spans="1:14" ht="12.75">
      <c r="A225" s="184">
        <f t="shared" si="146"/>
        <v>43160</v>
      </c>
      <c r="B225" s="185">
        <f aca="true" t="shared" si="152" ref="B225:I225">B190-B189</f>
        <v>772</v>
      </c>
      <c r="C225" s="185">
        <f t="shared" si="152"/>
        <v>1703</v>
      </c>
      <c r="D225" s="185">
        <f t="shared" si="152"/>
        <v>226</v>
      </c>
      <c r="E225" s="185">
        <f t="shared" si="152"/>
        <v>2273</v>
      </c>
      <c r="F225" s="185">
        <f t="shared" si="152"/>
        <v>162</v>
      </c>
      <c r="G225" s="185">
        <f t="shared" si="152"/>
        <v>3223</v>
      </c>
      <c r="H225" s="185">
        <f t="shared" si="152"/>
        <v>2680</v>
      </c>
      <c r="I225" s="185">
        <f t="shared" si="152"/>
        <v>4318</v>
      </c>
      <c r="J225" s="185"/>
      <c r="K225" s="185">
        <f t="shared" si="148"/>
        <v>655</v>
      </c>
      <c r="L225" s="185">
        <f t="shared" si="148"/>
        <v>319</v>
      </c>
      <c r="M225" s="185">
        <f t="shared" si="148"/>
        <v>430</v>
      </c>
      <c r="N225" s="21"/>
    </row>
    <row r="226" spans="1:14" ht="12.75">
      <c r="A226" s="184">
        <f t="shared" si="146"/>
        <v>43191</v>
      </c>
      <c r="B226" s="185">
        <f aca="true" t="shared" si="153" ref="B226:I226">B191-B190</f>
        <v>-396</v>
      </c>
      <c r="C226" s="185">
        <f t="shared" si="153"/>
        <v>14</v>
      </c>
      <c r="D226" s="185">
        <f t="shared" si="153"/>
        <v>-69</v>
      </c>
      <c r="E226" s="185">
        <f t="shared" si="153"/>
        <v>-203</v>
      </c>
      <c r="F226" s="185">
        <f t="shared" si="153"/>
        <v>153</v>
      </c>
      <c r="G226" s="185">
        <f t="shared" si="153"/>
        <v>-231</v>
      </c>
      <c r="H226" s="185">
        <f t="shared" si="153"/>
        <v>-665</v>
      </c>
      <c r="I226" s="185">
        <f t="shared" si="153"/>
        <v>-7459</v>
      </c>
      <c r="J226" s="185"/>
      <c r="K226" s="185">
        <f t="shared" si="148"/>
        <v>-129</v>
      </c>
      <c r="L226" s="185">
        <f t="shared" si="148"/>
        <v>-144</v>
      </c>
      <c r="M226" s="185">
        <f t="shared" si="148"/>
        <v>-88</v>
      </c>
      <c r="N226" s="21"/>
    </row>
    <row r="227" spans="1:14" ht="12.75">
      <c r="A227" s="184">
        <f t="shared" si="146"/>
        <v>43221</v>
      </c>
      <c r="B227" s="185">
        <f aca="true" t="shared" si="154" ref="B227:I227">B192-B191</f>
        <v>297</v>
      </c>
      <c r="C227" s="185">
        <f t="shared" si="154"/>
        <v>1530</v>
      </c>
      <c r="D227" s="185">
        <f t="shared" si="154"/>
        <v>197</v>
      </c>
      <c r="E227" s="185">
        <f t="shared" si="154"/>
        <v>139</v>
      </c>
      <c r="F227" s="185">
        <f t="shared" si="154"/>
        <v>190</v>
      </c>
      <c r="G227" s="185">
        <f t="shared" si="154"/>
        <v>-578</v>
      </c>
      <c r="H227" s="185">
        <f t="shared" si="154"/>
        <v>-3405</v>
      </c>
      <c r="I227" s="185">
        <f t="shared" si="154"/>
        <v>340</v>
      </c>
      <c r="J227" s="185"/>
      <c r="K227" s="185">
        <f t="shared" si="148"/>
        <v>-353</v>
      </c>
      <c r="L227" s="185">
        <f t="shared" si="148"/>
        <v>-21</v>
      </c>
      <c r="M227" s="185">
        <f t="shared" si="148"/>
        <v>-508</v>
      </c>
      <c r="N227" s="21"/>
    </row>
    <row r="228" spans="1:14" ht="12.75">
      <c r="A228" s="184">
        <f t="shared" si="146"/>
        <v>43252</v>
      </c>
      <c r="B228" s="185">
        <f aca="true" t="shared" si="155" ref="B228:I228">B193-B192</f>
        <v>-757</v>
      </c>
      <c r="C228" s="185">
        <f t="shared" si="155"/>
        <v>-2253</v>
      </c>
      <c r="D228" s="185">
        <f t="shared" si="155"/>
        <v>-366</v>
      </c>
      <c r="E228" s="185">
        <f t="shared" si="155"/>
        <v>-1474</v>
      </c>
      <c r="F228" s="185">
        <f t="shared" si="155"/>
        <v>-300</v>
      </c>
      <c r="G228" s="185">
        <f t="shared" si="155"/>
        <v>-2769</v>
      </c>
      <c r="H228" s="185">
        <f t="shared" si="155"/>
        <v>-3706</v>
      </c>
      <c r="I228" s="185">
        <f t="shared" si="155"/>
        <v>-5806</v>
      </c>
      <c r="J228" s="185"/>
      <c r="K228" s="185">
        <f t="shared" si="148"/>
        <v>-405</v>
      </c>
      <c r="L228" s="185">
        <f t="shared" si="148"/>
        <v>-253</v>
      </c>
      <c r="M228" s="185">
        <f t="shared" si="148"/>
        <v>-1946</v>
      </c>
      <c r="N228" s="21"/>
    </row>
    <row r="229" spans="1:14" ht="12.75">
      <c r="A229" s="184">
        <f t="shared" si="146"/>
        <v>43282</v>
      </c>
      <c r="B229" s="185">
        <f aca="true" t="shared" si="156" ref="B229:I229">B194-B193</f>
        <v>-271</v>
      </c>
      <c r="C229" s="185">
        <f t="shared" si="156"/>
        <v>-798</v>
      </c>
      <c r="D229" s="185">
        <f t="shared" si="156"/>
        <v>-3</v>
      </c>
      <c r="E229" s="185">
        <f t="shared" si="156"/>
        <v>-253</v>
      </c>
      <c r="F229" s="185">
        <f t="shared" si="156"/>
        <v>69</v>
      </c>
      <c r="G229" s="185">
        <f t="shared" si="156"/>
        <v>-206</v>
      </c>
      <c r="H229" s="185">
        <f t="shared" si="156"/>
        <v>2765</v>
      </c>
      <c r="I229" s="185">
        <f t="shared" si="156"/>
        <v>679</v>
      </c>
      <c r="J229" s="185"/>
      <c r="K229" s="185">
        <f t="shared" si="148"/>
        <v>-151</v>
      </c>
      <c r="L229" s="185">
        <f t="shared" si="148"/>
        <v>-46</v>
      </c>
      <c r="M229" s="185">
        <f t="shared" si="148"/>
        <v>50</v>
      </c>
      <c r="N229" s="21"/>
    </row>
    <row r="230" spans="1:14" ht="12.75">
      <c r="A230" s="184">
        <f t="shared" si="146"/>
        <v>43313</v>
      </c>
      <c r="B230" s="185">
        <f aca="true" t="shared" si="157" ref="B230:I230">B195-B194</f>
        <v>36</v>
      </c>
      <c r="C230" s="185">
        <f t="shared" si="157"/>
        <v>1550</v>
      </c>
      <c r="D230" s="185">
        <f t="shared" si="157"/>
        <v>-24</v>
      </c>
      <c r="E230" s="185">
        <f t="shared" si="157"/>
        <v>-83</v>
      </c>
      <c r="F230" s="185">
        <f t="shared" si="157"/>
        <v>289</v>
      </c>
      <c r="G230" s="185">
        <f t="shared" si="157"/>
        <v>218</v>
      </c>
      <c r="H230" s="185">
        <f t="shared" si="157"/>
        <v>-280</v>
      </c>
      <c r="I230" s="185">
        <f t="shared" si="157"/>
        <v>4844</v>
      </c>
      <c r="J230" s="185"/>
      <c r="K230" s="185">
        <f t="shared" si="148"/>
        <v>412</v>
      </c>
      <c r="L230" s="185">
        <f t="shared" si="148"/>
        <v>-31</v>
      </c>
      <c r="M230" s="185">
        <f t="shared" si="148"/>
        <v>73</v>
      </c>
      <c r="N230" s="21"/>
    </row>
    <row r="231" spans="1:14" ht="12.75">
      <c r="A231" s="184">
        <f t="shared" si="146"/>
        <v>43344</v>
      </c>
      <c r="B231" s="185">
        <f aca="true" t="shared" si="158" ref="B231:I231">B196-B195</f>
        <v>3293</v>
      </c>
      <c r="C231" s="185">
        <f t="shared" si="158"/>
        <v>1118</v>
      </c>
      <c r="D231" s="185">
        <f t="shared" si="158"/>
        <v>62</v>
      </c>
      <c r="E231" s="185">
        <f t="shared" si="158"/>
        <v>509</v>
      </c>
      <c r="F231" s="185">
        <f t="shared" si="158"/>
        <v>19</v>
      </c>
      <c r="G231" s="185">
        <f t="shared" si="158"/>
        <v>471</v>
      </c>
      <c r="H231" s="185">
        <f t="shared" si="158"/>
        <v>-4510</v>
      </c>
      <c r="I231" s="185">
        <f t="shared" si="158"/>
        <v>1539</v>
      </c>
      <c r="J231" s="185"/>
      <c r="K231" s="185">
        <f t="shared" si="148"/>
        <v>362</v>
      </c>
      <c r="L231" s="185">
        <f t="shared" si="148"/>
        <v>161</v>
      </c>
      <c r="M231" s="185">
        <f t="shared" si="148"/>
        <v>763</v>
      </c>
      <c r="N231" s="21"/>
    </row>
    <row r="232" spans="1:13" ht="12.75">
      <c r="A232" s="3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ht="12.75">
      <c r="A233" s="38"/>
    </row>
    <row r="234" ht="12.75">
      <c r="A234" s="37" t="s">
        <v>68</v>
      </c>
    </row>
    <row r="235" spans="1:34" ht="12.75">
      <c r="A235" s="27"/>
      <c r="B235" s="355" t="s">
        <v>7</v>
      </c>
      <c r="C235" s="356"/>
      <c r="D235" s="357"/>
      <c r="E235" s="355" t="s">
        <v>8</v>
      </c>
      <c r="F235" s="356"/>
      <c r="G235" s="357"/>
      <c r="H235" s="355" t="s">
        <v>9</v>
      </c>
      <c r="I235" s="356"/>
      <c r="J235" s="357"/>
      <c r="K235" s="355" t="s">
        <v>56</v>
      </c>
      <c r="L235" s="356"/>
      <c r="M235" s="357"/>
      <c r="N235" s="355" t="s">
        <v>11</v>
      </c>
      <c r="O235" s="356"/>
      <c r="P235" s="357"/>
      <c r="Q235" s="355" t="s">
        <v>57</v>
      </c>
      <c r="R235" s="356"/>
      <c r="S235" s="357"/>
      <c r="T235" s="355" t="s">
        <v>177</v>
      </c>
      <c r="U235" s="356"/>
      <c r="V235" s="357"/>
      <c r="W235" s="355" t="s">
        <v>12</v>
      </c>
      <c r="X235" s="356"/>
      <c r="Y235" s="357"/>
      <c r="Z235" s="355" t="s">
        <v>13</v>
      </c>
      <c r="AA235" s="356"/>
      <c r="AB235" s="357"/>
      <c r="AC235" s="355" t="s">
        <v>16</v>
      </c>
      <c r="AD235" s="356"/>
      <c r="AE235" s="357"/>
      <c r="AF235" s="355" t="s">
        <v>14</v>
      </c>
      <c r="AG235" s="356"/>
      <c r="AH235" s="357"/>
    </row>
    <row r="236" spans="1:34" ht="12.75">
      <c r="A236" s="136" t="s">
        <v>67</v>
      </c>
      <c r="B236" s="134" t="s">
        <v>59</v>
      </c>
      <c r="C236" s="134" t="s">
        <v>60</v>
      </c>
      <c r="D236" s="134" t="s">
        <v>58</v>
      </c>
      <c r="E236" s="134" t="s">
        <v>59</v>
      </c>
      <c r="F236" s="134" t="s">
        <v>60</v>
      </c>
      <c r="G236" s="134" t="s">
        <v>58</v>
      </c>
      <c r="H236" s="134" t="s">
        <v>59</v>
      </c>
      <c r="I236" s="134" t="s">
        <v>60</v>
      </c>
      <c r="J236" s="134" t="s">
        <v>58</v>
      </c>
      <c r="K236" s="134" t="s">
        <v>59</v>
      </c>
      <c r="L236" s="134" t="s">
        <v>60</v>
      </c>
      <c r="M236" s="134" t="s">
        <v>58</v>
      </c>
      <c r="N236" s="134" t="s">
        <v>59</v>
      </c>
      <c r="O236" s="134" t="s">
        <v>60</v>
      </c>
      <c r="P236" s="134" t="s">
        <v>58</v>
      </c>
      <c r="Q236" s="134" t="s">
        <v>59</v>
      </c>
      <c r="R236" s="134" t="s">
        <v>60</v>
      </c>
      <c r="S236" s="134" t="s">
        <v>58</v>
      </c>
      <c r="T236" s="134" t="s">
        <v>59</v>
      </c>
      <c r="U236" s="134" t="s">
        <v>60</v>
      </c>
      <c r="V236" s="134" t="s">
        <v>58</v>
      </c>
      <c r="W236" s="134" t="s">
        <v>59</v>
      </c>
      <c r="X236" s="134" t="s">
        <v>60</v>
      </c>
      <c r="Y236" s="134" t="s">
        <v>58</v>
      </c>
      <c r="Z236" s="134" t="s">
        <v>59</v>
      </c>
      <c r="AA236" s="134" t="s">
        <v>60</v>
      </c>
      <c r="AB236" s="134" t="s">
        <v>58</v>
      </c>
      <c r="AC236" s="134" t="s">
        <v>59</v>
      </c>
      <c r="AD236" s="134" t="s">
        <v>60</v>
      </c>
      <c r="AE236" s="134" t="s">
        <v>58</v>
      </c>
      <c r="AF236" s="134" t="s">
        <v>59</v>
      </c>
      <c r="AG236" s="134" t="s">
        <v>60</v>
      </c>
      <c r="AH236" s="134" t="s">
        <v>58</v>
      </c>
    </row>
    <row r="237" spans="1:34" ht="12.75">
      <c r="A237" s="269" t="s">
        <v>66</v>
      </c>
      <c r="B237" s="190">
        <v>125817</v>
      </c>
      <c r="C237" s="190">
        <v>1394032</v>
      </c>
      <c r="D237" s="190">
        <v>84470</v>
      </c>
      <c r="E237" s="190"/>
      <c r="F237" s="190"/>
      <c r="G237" s="190"/>
      <c r="H237" s="190"/>
      <c r="I237" s="190"/>
      <c r="J237" s="190"/>
      <c r="K237" s="190">
        <v>141171</v>
      </c>
      <c r="L237" s="190">
        <v>1607037</v>
      </c>
      <c r="M237" s="190">
        <v>78948</v>
      </c>
      <c r="N237" s="190"/>
      <c r="O237" s="190"/>
      <c r="P237" s="190"/>
      <c r="Q237" s="190">
        <v>74193</v>
      </c>
      <c r="R237" s="190">
        <v>735937</v>
      </c>
      <c r="S237" s="190">
        <v>41991</v>
      </c>
      <c r="T237" s="190">
        <v>53574</v>
      </c>
      <c r="U237" s="190">
        <v>979938</v>
      </c>
      <c r="V237" s="190">
        <v>17740</v>
      </c>
      <c r="W237" s="190">
        <v>257646</v>
      </c>
      <c r="X237" s="190">
        <v>2285747</v>
      </c>
      <c r="Y237" s="190">
        <v>187325</v>
      </c>
      <c r="Z237" s="190">
        <v>11242</v>
      </c>
      <c r="AA237" s="190">
        <v>117277</v>
      </c>
      <c r="AB237" s="190">
        <v>7857</v>
      </c>
      <c r="AC237" s="190">
        <v>43722</v>
      </c>
      <c r="AD237" s="190">
        <v>479754</v>
      </c>
      <c r="AE237" s="190">
        <v>24748</v>
      </c>
      <c r="AF237" s="190"/>
      <c r="AG237" s="190"/>
      <c r="AH237" s="190"/>
    </row>
    <row r="238" spans="1:34" ht="12.75">
      <c r="A238" s="269" t="s">
        <v>44</v>
      </c>
      <c r="B238" s="190">
        <v>145765</v>
      </c>
      <c r="C238" s="190">
        <v>1613397</v>
      </c>
      <c r="D238" s="190">
        <v>96327</v>
      </c>
      <c r="E238" s="190">
        <v>7745</v>
      </c>
      <c r="F238" s="190">
        <v>86406</v>
      </c>
      <c r="G238" s="190">
        <v>4014</v>
      </c>
      <c r="H238" s="190"/>
      <c r="I238" s="190"/>
      <c r="J238" s="190"/>
      <c r="K238" s="190">
        <v>143781</v>
      </c>
      <c r="L238" s="190">
        <v>1636681</v>
      </c>
      <c r="M238" s="190">
        <v>82771</v>
      </c>
      <c r="N238" s="190"/>
      <c r="O238" s="190"/>
      <c r="P238" s="190"/>
      <c r="Q238" s="190">
        <v>78161</v>
      </c>
      <c r="R238" s="190">
        <v>757185</v>
      </c>
      <c r="S238" s="190">
        <v>44726</v>
      </c>
      <c r="T238" s="190">
        <v>64290</v>
      </c>
      <c r="U238" s="190">
        <v>1137682</v>
      </c>
      <c r="V238" s="190">
        <v>22482</v>
      </c>
      <c r="W238" s="190">
        <v>347349</v>
      </c>
      <c r="X238" s="190">
        <v>2710866</v>
      </c>
      <c r="Y238" s="190">
        <v>244569</v>
      </c>
      <c r="Z238" s="190">
        <v>16433</v>
      </c>
      <c r="AA238" s="190">
        <v>152974</v>
      </c>
      <c r="AB238" s="190">
        <v>11683</v>
      </c>
      <c r="AC238" s="190">
        <v>24190</v>
      </c>
      <c r="AD238" s="190">
        <v>168092</v>
      </c>
      <c r="AE238" s="190">
        <v>16844</v>
      </c>
      <c r="AF238" s="190"/>
      <c r="AG238" s="190"/>
      <c r="AH238" s="190"/>
    </row>
    <row r="239" spans="1:34" ht="12.75">
      <c r="A239" s="269" t="s">
        <v>45</v>
      </c>
      <c r="B239" s="190">
        <v>160681</v>
      </c>
      <c r="C239" s="190">
        <v>1799677</v>
      </c>
      <c r="D239" s="190">
        <v>109905</v>
      </c>
      <c r="E239" s="190">
        <v>6366</v>
      </c>
      <c r="F239" s="190">
        <v>86010</v>
      </c>
      <c r="G239" s="190">
        <v>2548</v>
      </c>
      <c r="H239" s="190">
        <v>1195</v>
      </c>
      <c r="I239" s="190">
        <v>7220</v>
      </c>
      <c r="J239" s="190">
        <v>979</v>
      </c>
      <c r="K239" s="190">
        <v>144585</v>
      </c>
      <c r="L239" s="190">
        <v>3472493</v>
      </c>
      <c r="M239" s="190">
        <v>80801</v>
      </c>
      <c r="N239" s="190">
        <v>3563</v>
      </c>
      <c r="O239" s="190">
        <v>25293</v>
      </c>
      <c r="P239" s="190">
        <v>2011</v>
      </c>
      <c r="Q239" s="190">
        <v>53247</v>
      </c>
      <c r="R239" s="190">
        <v>377739</v>
      </c>
      <c r="S239" s="190">
        <v>34902</v>
      </c>
      <c r="T239" s="190">
        <v>74206</v>
      </c>
      <c r="U239" s="190">
        <v>1298537</v>
      </c>
      <c r="V239" s="190">
        <v>29103</v>
      </c>
      <c r="W239" s="190">
        <v>440891</v>
      </c>
      <c r="X239" s="190">
        <v>3202873</v>
      </c>
      <c r="Y239" s="190">
        <v>289997</v>
      </c>
      <c r="Z239" s="190">
        <v>19070</v>
      </c>
      <c r="AA239" s="190">
        <v>161490</v>
      </c>
      <c r="AB239" s="190">
        <v>13974</v>
      </c>
      <c r="AC239" s="190">
        <v>19878</v>
      </c>
      <c r="AD239" s="190">
        <v>111178</v>
      </c>
      <c r="AE239" s="190">
        <v>14634</v>
      </c>
      <c r="AF239" s="190">
        <v>155635</v>
      </c>
      <c r="AG239" s="190">
        <v>921255</v>
      </c>
      <c r="AH239" s="190">
        <v>123204</v>
      </c>
    </row>
    <row r="240" spans="1:34" ht="12.75">
      <c r="A240" s="269" t="s">
        <v>46</v>
      </c>
      <c r="B240" s="190">
        <v>191478</v>
      </c>
      <c r="C240" s="190">
        <v>2205316</v>
      </c>
      <c r="D240" s="190">
        <v>129351</v>
      </c>
      <c r="E240" s="190">
        <v>16270</v>
      </c>
      <c r="F240" s="190">
        <v>184821</v>
      </c>
      <c r="G240" s="190">
        <v>8779</v>
      </c>
      <c r="H240" s="190">
        <v>2241</v>
      </c>
      <c r="I240" s="190">
        <v>13695</v>
      </c>
      <c r="J240" s="190">
        <v>1935</v>
      </c>
      <c r="K240" s="190">
        <v>155369</v>
      </c>
      <c r="L240" s="190">
        <v>5690078</v>
      </c>
      <c r="M240" s="190">
        <v>81529</v>
      </c>
      <c r="N240" s="190">
        <v>5044</v>
      </c>
      <c r="O240" s="190">
        <v>37090</v>
      </c>
      <c r="P240" s="190">
        <v>3477</v>
      </c>
      <c r="Q240" s="190">
        <v>35281</v>
      </c>
      <c r="R240" s="190">
        <v>251786</v>
      </c>
      <c r="S240" s="190">
        <v>23036</v>
      </c>
      <c r="T240" s="190">
        <v>87176</v>
      </c>
      <c r="U240" s="190">
        <v>1513257</v>
      </c>
      <c r="V240" s="190">
        <v>37412</v>
      </c>
      <c r="W240" s="190">
        <v>435375</v>
      </c>
      <c r="X240" s="190">
        <v>2700947</v>
      </c>
      <c r="Y240" s="190">
        <v>287305</v>
      </c>
      <c r="Z240" s="190">
        <v>18437</v>
      </c>
      <c r="AA240" s="190">
        <v>152661</v>
      </c>
      <c r="AB240" s="190">
        <v>13475</v>
      </c>
      <c r="AC240" s="190">
        <v>19897</v>
      </c>
      <c r="AD240" s="190">
        <v>103047</v>
      </c>
      <c r="AE240" s="190">
        <v>14808</v>
      </c>
      <c r="AF240" s="190">
        <v>142290</v>
      </c>
      <c r="AG240" s="190">
        <v>801448</v>
      </c>
      <c r="AH240" s="190">
        <v>117837</v>
      </c>
    </row>
    <row r="241" spans="1:34" ht="12.75">
      <c r="A241" s="269" t="s">
        <v>47</v>
      </c>
      <c r="B241" s="190">
        <v>199316</v>
      </c>
      <c r="C241" s="190">
        <v>2420483</v>
      </c>
      <c r="D241" s="190">
        <v>139685</v>
      </c>
      <c r="E241" s="190">
        <v>13772</v>
      </c>
      <c r="F241" s="190">
        <v>177994</v>
      </c>
      <c r="G241" s="190">
        <v>5236</v>
      </c>
      <c r="H241" s="190">
        <v>2504</v>
      </c>
      <c r="I241" s="190">
        <v>57720</v>
      </c>
      <c r="J241" s="190">
        <v>2093</v>
      </c>
      <c r="K241" s="190">
        <v>191134</v>
      </c>
      <c r="L241" s="190">
        <v>7011266</v>
      </c>
      <c r="M241" s="190">
        <v>108531</v>
      </c>
      <c r="N241" s="190">
        <v>4566</v>
      </c>
      <c r="O241" s="190">
        <v>143683</v>
      </c>
      <c r="P241" s="190">
        <v>3092</v>
      </c>
      <c r="Q241" s="190">
        <v>94768</v>
      </c>
      <c r="R241" s="190">
        <v>915566</v>
      </c>
      <c r="S241" s="190">
        <v>64358</v>
      </c>
      <c r="T241" s="190">
        <v>230192</v>
      </c>
      <c r="U241" s="190">
        <v>3059401</v>
      </c>
      <c r="V241" s="190">
        <v>118902</v>
      </c>
      <c r="W241" s="190">
        <v>425601</v>
      </c>
      <c r="X241" s="190">
        <v>3745528</v>
      </c>
      <c r="Y241" s="190">
        <v>287337</v>
      </c>
      <c r="Z241" s="190">
        <v>11300</v>
      </c>
      <c r="AA241" s="190">
        <v>165812</v>
      </c>
      <c r="AB241" s="190">
        <v>8349</v>
      </c>
      <c r="AC241" s="190">
        <v>25614</v>
      </c>
      <c r="AD241" s="190">
        <v>205349</v>
      </c>
      <c r="AE241" s="190">
        <v>17425</v>
      </c>
      <c r="AF241" s="190">
        <v>119831</v>
      </c>
      <c r="AG241" s="190">
        <v>714477</v>
      </c>
      <c r="AH241" s="190">
        <v>100968</v>
      </c>
    </row>
    <row r="242" spans="1:34" ht="12.75">
      <c r="A242" s="269" t="s">
        <v>48</v>
      </c>
      <c r="B242" s="190">
        <v>165200</v>
      </c>
      <c r="C242" s="190">
        <v>1743569</v>
      </c>
      <c r="D242" s="190">
        <v>106536</v>
      </c>
      <c r="E242" s="190">
        <v>13439</v>
      </c>
      <c r="F242" s="190">
        <v>124754</v>
      </c>
      <c r="G242" s="190">
        <v>7258</v>
      </c>
      <c r="H242" s="190">
        <v>5628</v>
      </c>
      <c r="I242" s="190">
        <v>108135</v>
      </c>
      <c r="J242" s="190">
        <v>4486</v>
      </c>
      <c r="K242" s="190">
        <v>214570</v>
      </c>
      <c r="L242" s="190">
        <v>7631590</v>
      </c>
      <c r="M242" s="190">
        <v>120292</v>
      </c>
      <c r="N242" s="190">
        <v>6236</v>
      </c>
      <c r="O242" s="190">
        <v>50572</v>
      </c>
      <c r="P242" s="190">
        <v>4606</v>
      </c>
      <c r="Q242" s="190">
        <v>205451</v>
      </c>
      <c r="R242" s="190">
        <v>1386094</v>
      </c>
      <c r="S242" s="190">
        <v>164546</v>
      </c>
      <c r="T242" s="190">
        <v>652612</v>
      </c>
      <c r="U242" s="190">
        <v>7811167</v>
      </c>
      <c r="V242" s="190">
        <v>343312</v>
      </c>
      <c r="W242" s="190">
        <v>536704</v>
      </c>
      <c r="X242" s="190">
        <v>3727105</v>
      </c>
      <c r="Y242" s="190">
        <v>356268</v>
      </c>
      <c r="Z242" s="190">
        <v>18181</v>
      </c>
      <c r="AA242" s="190">
        <v>103414</v>
      </c>
      <c r="AB242" s="190">
        <v>14448</v>
      </c>
      <c r="AC242" s="190">
        <v>28056</v>
      </c>
      <c r="AD242" s="190">
        <v>221636</v>
      </c>
      <c r="AE242" s="190">
        <v>19278</v>
      </c>
      <c r="AF242" s="190">
        <v>127843</v>
      </c>
      <c r="AG242" s="190">
        <v>813099</v>
      </c>
      <c r="AH242" s="190">
        <v>107713</v>
      </c>
    </row>
    <row r="243" spans="1:34" ht="12.75">
      <c r="A243" s="269" t="s">
        <v>49</v>
      </c>
      <c r="B243" s="190">
        <v>159750</v>
      </c>
      <c r="C243" s="190">
        <v>1808786</v>
      </c>
      <c r="D243" s="190">
        <v>100981</v>
      </c>
      <c r="E243" s="190">
        <v>13782</v>
      </c>
      <c r="F243" s="190">
        <v>122536</v>
      </c>
      <c r="G243" s="190">
        <v>8039</v>
      </c>
      <c r="H243" s="190">
        <v>8326</v>
      </c>
      <c r="I243" s="190">
        <v>347006</v>
      </c>
      <c r="J243" s="190">
        <v>5414</v>
      </c>
      <c r="K243" s="190">
        <v>225553</v>
      </c>
      <c r="L243" s="190">
        <v>9735100</v>
      </c>
      <c r="M243" s="190">
        <v>125907</v>
      </c>
      <c r="N243" s="190">
        <v>7576</v>
      </c>
      <c r="O243" s="190">
        <v>62644</v>
      </c>
      <c r="P243" s="190">
        <v>5560</v>
      </c>
      <c r="Q243" s="190">
        <v>127574</v>
      </c>
      <c r="R243" s="190">
        <v>958322</v>
      </c>
      <c r="S243" s="190">
        <v>89098</v>
      </c>
      <c r="T243" s="190">
        <v>605342</v>
      </c>
      <c r="U243" s="190">
        <v>7137162</v>
      </c>
      <c r="V243" s="190">
        <v>310180</v>
      </c>
      <c r="W243" s="190">
        <v>629406</v>
      </c>
      <c r="X243" s="190">
        <v>3935194</v>
      </c>
      <c r="Y243" s="190">
        <v>416514</v>
      </c>
      <c r="Z243" s="190">
        <v>17118</v>
      </c>
      <c r="AA243" s="190">
        <v>89676</v>
      </c>
      <c r="AB243" s="190">
        <v>13493</v>
      </c>
      <c r="AC243" s="190">
        <v>28531</v>
      </c>
      <c r="AD243" s="190">
        <v>206051</v>
      </c>
      <c r="AE243" s="190">
        <v>19950</v>
      </c>
      <c r="AF243" s="190">
        <v>106840</v>
      </c>
      <c r="AG243" s="190">
        <v>917822</v>
      </c>
      <c r="AH243" s="190">
        <v>87904</v>
      </c>
    </row>
    <row r="244" spans="1:34" ht="12.75">
      <c r="A244" s="269" t="s">
        <v>50</v>
      </c>
      <c r="B244" s="190">
        <v>47436</v>
      </c>
      <c r="C244" s="190">
        <v>483566</v>
      </c>
      <c r="D244" s="190">
        <v>31305</v>
      </c>
      <c r="E244" s="190">
        <v>20584</v>
      </c>
      <c r="F244" s="190">
        <v>142425</v>
      </c>
      <c r="G244" s="190">
        <v>13983</v>
      </c>
      <c r="H244" s="190">
        <v>6975</v>
      </c>
      <c r="I244" s="190">
        <v>122957</v>
      </c>
      <c r="J244" s="190">
        <v>4896</v>
      </c>
      <c r="K244" s="190">
        <v>217305</v>
      </c>
      <c r="L244" s="190">
        <v>10234228</v>
      </c>
      <c r="M244" s="190">
        <v>120646</v>
      </c>
      <c r="N244" s="190">
        <v>8071</v>
      </c>
      <c r="O244" s="190">
        <v>70567</v>
      </c>
      <c r="P244" s="190">
        <v>5858</v>
      </c>
      <c r="Q244" s="190">
        <v>119538</v>
      </c>
      <c r="R244" s="190">
        <v>744359</v>
      </c>
      <c r="S244" s="190">
        <v>86934</v>
      </c>
      <c r="T244" s="190">
        <v>466031</v>
      </c>
      <c r="U244" s="190">
        <v>5830786</v>
      </c>
      <c r="V244" s="190">
        <v>244340</v>
      </c>
      <c r="W244" s="190">
        <v>645434</v>
      </c>
      <c r="X244" s="190">
        <v>3629180</v>
      </c>
      <c r="Y244" s="190">
        <v>446833</v>
      </c>
      <c r="Z244" s="190">
        <v>18982</v>
      </c>
      <c r="AA244" s="190">
        <v>113142</v>
      </c>
      <c r="AB244" s="190">
        <v>14175</v>
      </c>
      <c r="AC244" s="190">
        <v>29876</v>
      </c>
      <c r="AD244" s="190">
        <v>200215</v>
      </c>
      <c r="AE244" s="190">
        <v>21105</v>
      </c>
      <c r="AF244" s="190">
        <v>107864</v>
      </c>
      <c r="AG244" s="190">
        <v>895322</v>
      </c>
      <c r="AH244" s="190">
        <v>90311</v>
      </c>
    </row>
    <row r="245" spans="1:34" ht="12.75">
      <c r="A245" s="269" t="s">
        <v>52</v>
      </c>
      <c r="B245" s="190">
        <v>52864</v>
      </c>
      <c r="C245" s="190">
        <v>501339</v>
      </c>
      <c r="D245" s="190">
        <v>35782</v>
      </c>
      <c r="E245" s="190">
        <v>30739</v>
      </c>
      <c r="F245" s="190">
        <v>203901</v>
      </c>
      <c r="G245" s="190">
        <v>20779</v>
      </c>
      <c r="H245" s="190">
        <v>8284</v>
      </c>
      <c r="I245" s="190">
        <v>53139</v>
      </c>
      <c r="J245" s="190">
        <v>6574</v>
      </c>
      <c r="K245" s="190">
        <v>246689</v>
      </c>
      <c r="L245" s="190">
        <v>6004302</v>
      </c>
      <c r="M245" s="190">
        <v>141377</v>
      </c>
      <c r="N245" s="190">
        <v>10494</v>
      </c>
      <c r="O245" s="190">
        <v>102909</v>
      </c>
      <c r="P245" s="190">
        <v>7365</v>
      </c>
      <c r="Q245" s="190">
        <v>140454</v>
      </c>
      <c r="R245" s="190">
        <v>865811</v>
      </c>
      <c r="S245" s="190">
        <v>103590</v>
      </c>
      <c r="T245" s="190">
        <v>443373</v>
      </c>
      <c r="U245" s="190">
        <v>5429821</v>
      </c>
      <c r="V245" s="190">
        <v>232392</v>
      </c>
      <c r="W245" s="190">
        <v>729565</v>
      </c>
      <c r="X245" s="190">
        <v>4032173</v>
      </c>
      <c r="Y245" s="190">
        <v>505990</v>
      </c>
      <c r="Z245" s="190">
        <v>14071</v>
      </c>
      <c r="AA245" s="190">
        <v>97324</v>
      </c>
      <c r="AB245" s="190">
        <v>10766</v>
      </c>
      <c r="AC245" s="190">
        <v>37165</v>
      </c>
      <c r="AD245" s="190">
        <v>270832</v>
      </c>
      <c r="AE245" s="190">
        <v>23399</v>
      </c>
      <c r="AF245" s="190">
        <v>89576</v>
      </c>
      <c r="AG245" s="190">
        <v>938136</v>
      </c>
      <c r="AH245" s="190">
        <v>73954</v>
      </c>
    </row>
    <row r="246" spans="1:34" ht="12.75">
      <c r="A246" s="269" t="s">
        <v>85</v>
      </c>
      <c r="B246" s="190">
        <v>55046</v>
      </c>
      <c r="C246" s="190">
        <v>542003</v>
      </c>
      <c r="D246" s="190">
        <v>38903</v>
      </c>
      <c r="E246" s="190">
        <v>65720</v>
      </c>
      <c r="F246" s="190">
        <v>295582</v>
      </c>
      <c r="G246" s="190">
        <v>41371</v>
      </c>
      <c r="H246" s="190">
        <v>10869</v>
      </c>
      <c r="I246" s="190">
        <v>64554</v>
      </c>
      <c r="J246" s="190">
        <v>8640</v>
      </c>
      <c r="K246" s="190">
        <v>206088</v>
      </c>
      <c r="L246" s="190">
        <v>2180301</v>
      </c>
      <c r="M246" s="190">
        <v>128457</v>
      </c>
      <c r="N246" s="190">
        <v>17347</v>
      </c>
      <c r="O246" s="190">
        <v>140576</v>
      </c>
      <c r="P246" s="190">
        <v>12048</v>
      </c>
      <c r="Q246" s="190">
        <v>189171</v>
      </c>
      <c r="R246" s="190">
        <v>1096949</v>
      </c>
      <c r="S246" s="190">
        <v>143345</v>
      </c>
      <c r="T246" s="190">
        <v>412847</v>
      </c>
      <c r="U246" s="190">
        <v>4971411</v>
      </c>
      <c r="V246" s="190">
        <v>220035</v>
      </c>
      <c r="W246" s="190">
        <v>766328</v>
      </c>
      <c r="X246" s="190">
        <v>3772779</v>
      </c>
      <c r="Y246" s="190">
        <v>524620</v>
      </c>
      <c r="Z246" s="190">
        <v>31846</v>
      </c>
      <c r="AA246" s="190">
        <v>275875</v>
      </c>
      <c r="AB246" s="190">
        <v>23530</v>
      </c>
      <c r="AC246" s="190">
        <v>36216</v>
      </c>
      <c r="AD246" s="190">
        <v>303768</v>
      </c>
      <c r="AE246" s="190">
        <v>25158</v>
      </c>
      <c r="AF246" s="190">
        <v>88746</v>
      </c>
      <c r="AG246" s="190">
        <v>893022</v>
      </c>
      <c r="AH246" s="190">
        <v>72917</v>
      </c>
    </row>
    <row r="247" spans="1:34" ht="12.75">
      <c r="A247" s="270" t="s">
        <v>109</v>
      </c>
      <c r="B247" s="223">
        <v>58238</v>
      </c>
      <c r="C247" s="223">
        <v>551711</v>
      </c>
      <c r="D247" s="223">
        <v>40974</v>
      </c>
      <c r="E247" s="223">
        <v>108364</v>
      </c>
      <c r="F247" s="223">
        <v>388556</v>
      </c>
      <c r="G247" s="223">
        <v>70696</v>
      </c>
      <c r="H247" s="223">
        <v>14866</v>
      </c>
      <c r="I247" s="223">
        <v>96028</v>
      </c>
      <c r="J247" s="223">
        <v>11549</v>
      </c>
      <c r="K247" s="223">
        <v>190206</v>
      </c>
      <c r="L247" s="223">
        <v>1902393</v>
      </c>
      <c r="M247" s="223">
        <v>118779</v>
      </c>
      <c r="N247" s="223">
        <v>23160</v>
      </c>
      <c r="O247" s="223">
        <v>392057</v>
      </c>
      <c r="P247" s="223">
        <v>15823</v>
      </c>
      <c r="Q247" s="223">
        <v>195153</v>
      </c>
      <c r="R247" s="223">
        <v>1059513</v>
      </c>
      <c r="S247" s="223">
        <v>141014</v>
      </c>
      <c r="T247" s="223">
        <v>301594</v>
      </c>
      <c r="U247" s="223">
        <v>3294341</v>
      </c>
      <c r="V247" s="223">
        <v>169008</v>
      </c>
      <c r="W247" s="223">
        <v>857579</v>
      </c>
      <c r="X247" s="223">
        <v>4071275</v>
      </c>
      <c r="Y247" s="223">
        <v>572807</v>
      </c>
      <c r="Z247" s="223">
        <v>46518</v>
      </c>
      <c r="AA247" s="223">
        <v>454588</v>
      </c>
      <c r="AB247" s="223">
        <v>33545</v>
      </c>
      <c r="AC247" s="223">
        <v>39732</v>
      </c>
      <c r="AD247" s="223">
        <v>343100</v>
      </c>
      <c r="AE247" s="223">
        <v>27157</v>
      </c>
      <c r="AF247" s="223">
        <v>94980</v>
      </c>
      <c r="AG247" s="223">
        <v>923167</v>
      </c>
      <c r="AH247" s="223">
        <v>78103</v>
      </c>
    </row>
    <row r="248" spans="1:34" ht="12.75">
      <c r="A248" s="279" t="s">
        <v>134</v>
      </c>
      <c r="B248" s="225">
        <v>67042</v>
      </c>
      <c r="C248" s="225">
        <v>818083</v>
      </c>
      <c r="D248" s="225">
        <v>49138</v>
      </c>
      <c r="E248" s="225">
        <v>161646</v>
      </c>
      <c r="F248" s="225">
        <v>551398</v>
      </c>
      <c r="G248" s="225">
        <v>106949</v>
      </c>
      <c r="H248" s="225">
        <v>25193</v>
      </c>
      <c r="I248" s="225">
        <v>276196</v>
      </c>
      <c r="J248" s="225">
        <v>19688</v>
      </c>
      <c r="K248" s="225">
        <v>150117</v>
      </c>
      <c r="L248" s="225">
        <v>2584212</v>
      </c>
      <c r="M248" s="225">
        <v>93299</v>
      </c>
      <c r="N248" s="225">
        <v>24485</v>
      </c>
      <c r="O248" s="225">
        <v>529075</v>
      </c>
      <c r="P248" s="225">
        <v>16568</v>
      </c>
      <c r="Q248" s="225">
        <v>209718</v>
      </c>
      <c r="R248" s="225">
        <v>1158426</v>
      </c>
      <c r="S248" s="225">
        <v>153371</v>
      </c>
      <c r="T248" s="225">
        <v>217721</v>
      </c>
      <c r="U248" s="225">
        <v>3095213</v>
      </c>
      <c r="V248" s="225">
        <v>136357</v>
      </c>
      <c r="W248" s="225">
        <v>798789</v>
      </c>
      <c r="X248" s="225">
        <v>3813884</v>
      </c>
      <c r="Y248" s="225">
        <v>541879</v>
      </c>
      <c r="Z248" s="225">
        <v>46775</v>
      </c>
      <c r="AA248" s="225">
        <v>637712</v>
      </c>
      <c r="AB248" s="225">
        <v>34391</v>
      </c>
      <c r="AC248" s="225">
        <v>40086</v>
      </c>
      <c r="AD248" s="225">
        <v>1354393</v>
      </c>
      <c r="AE248" s="225">
        <v>27758</v>
      </c>
      <c r="AF248" s="225">
        <v>103800</v>
      </c>
      <c r="AG248" s="225">
        <v>1788088</v>
      </c>
      <c r="AH248" s="225">
        <v>83337</v>
      </c>
    </row>
    <row r="249" spans="1:34" ht="12.75">
      <c r="A249" s="178" t="s">
        <v>61</v>
      </c>
      <c r="B249" s="178">
        <f>SUM(B237:B248)</f>
        <v>1428633</v>
      </c>
      <c r="C249" s="178">
        <f aca="true" t="shared" si="159" ref="C249:AH249">SUM(C237:C248)</f>
        <v>15881962</v>
      </c>
      <c r="D249" s="178">
        <f t="shared" si="159"/>
        <v>963357</v>
      </c>
      <c r="E249" s="178">
        <f t="shared" si="159"/>
        <v>458427</v>
      </c>
      <c r="F249" s="178">
        <f t="shared" si="159"/>
        <v>2364383</v>
      </c>
      <c r="G249" s="178">
        <f t="shared" si="159"/>
        <v>289652</v>
      </c>
      <c r="H249" s="178">
        <f t="shared" si="159"/>
        <v>86081</v>
      </c>
      <c r="I249" s="178">
        <f t="shared" si="159"/>
        <v>1146650</v>
      </c>
      <c r="J249" s="178">
        <f t="shared" si="159"/>
        <v>66254</v>
      </c>
      <c r="K249" s="178">
        <f t="shared" si="159"/>
        <v>2226568</v>
      </c>
      <c r="L249" s="178">
        <f t="shared" si="159"/>
        <v>59689681</v>
      </c>
      <c r="M249" s="178">
        <f t="shared" si="159"/>
        <v>1281337</v>
      </c>
      <c r="N249" s="178">
        <f t="shared" si="159"/>
        <v>110542</v>
      </c>
      <c r="O249" s="178">
        <f t="shared" si="159"/>
        <v>1554466</v>
      </c>
      <c r="P249" s="178">
        <f t="shared" si="159"/>
        <v>76408</v>
      </c>
      <c r="Q249" s="178">
        <f t="shared" si="159"/>
        <v>1522709</v>
      </c>
      <c r="R249" s="178">
        <f t="shared" si="159"/>
        <v>10307687</v>
      </c>
      <c r="S249" s="178">
        <f t="shared" si="159"/>
        <v>1090911</v>
      </c>
      <c r="T249" s="178">
        <f t="shared" si="159"/>
        <v>3608958</v>
      </c>
      <c r="U249" s="178">
        <f t="shared" si="159"/>
        <v>45558716</v>
      </c>
      <c r="V249" s="178">
        <f t="shared" si="159"/>
        <v>1881263</v>
      </c>
      <c r="W249" s="178">
        <f t="shared" si="159"/>
        <v>6870667</v>
      </c>
      <c r="X249" s="178">
        <f t="shared" si="159"/>
        <v>41627551</v>
      </c>
      <c r="Y249" s="178">
        <f t="shared" si="159"/>
        <v>4661444</v>
      </c>
      <c r="Z249" s="178">
        <f t="shared" si="159"/>
        <v>269973</v>
      </c>
      <c r="AA249" s="178">
        <f t="shared" si="159"/>
        <v>2521945</v>
      </c>
      <c r="AB249" s="178">
        <f t="shared" si="159"/>
        <v>199686</v>
      </c>
      <c r="AC249" s="178">
        <f t="shared" si="159"/>
        <v>372963</v>
      </c>
      <c r="AD249" s="178">
        <f t="shared" si="159"/>
        <v>3967415</v>
      </c>
      <c r="AE249" s="178">
        <f t="shared" si="159"/>
        <v>252264</v>
      </c>
      <c r="AF249" s="178">
        <f t="shared" si="159"/>
        <v>1137405</v>
      </c>
      <c r="AG249" s="178">
        <f t="shared" si="159"/>
        <v>9605836</v>
      </c>
      <c r="AH249" s="178">
        <f t="shared" si="159"/>
        <v>936248</v>
      </c>
    </row>
    <row r="250" ht="12.75">
      <c r="B250" s="38" t="s">
        <v>159</v>
      </c>
    </row>
  </sheetData>
  <sheetProtection/>
  <mergeCells count="21">
    <mergeCell ref="AC235:AE235"/>
    <mergeCell ref="AF235:AH235"/>
    <mergeCell ref="N235:P235"/>
    <mergeCell ref="Q235:S235"/>
    <mergeCell ref="T235:V235"/>
    <mergeCell ref="W235:Y235"/>
    <mergeCell ref="Z235:AB235"/>
    <mergeCell ref="B202:M202"/>
    <mergeCell ref="B218:M218"/>
    <mergeCell ref="A169:H169"/>
    <mergeCell ref="A155:M155"/>
    <mergeCell ref="B235:D235"/>
    <mergeCell ref="E235:G235"/>
    <mergeCell ref="H235:J235"/>
    <mergeCell ref="K235:M235"/>
    <mergeCell ref="B139:M139"/>
    <mergeCell ref="B19:M19"/>
    <mergeCell ref="B35:M35"/>
    <mergeCell ref="B71:M71"/>
    <mergeCell ref="B87:M87"/>
    <mergeCell ref="B123:M123"/>
  </mergeCells>
  <printOptions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30"/>
  <sheetViews>
    <sheetView zoomScale="90" zoomScaleNormal="90" zoomScalePageLayoutView="0" workbookViewId="0" topLeftCell="A1">
      <selection activeCell="P4" sqref="P4"/>
    </sheetView>
  </sheetViews>
  <sheetFormatPr defaultColWidth="8.7109375" defaultRowHeight="12.75"/>
  <cols>
    <col min="1" max="1" width="6.00390625" style="0" customWidth="1"/>
    <col min="2" max="4" width="15.7109375" style="0" customWidth="1"/>
    <col min="5" max="5" width="20.140625" style="0" customWidth="1"/>
    <col min="6" max="6" width="13.28125" style="0" customWidth="1"/>
    <col min="7" max="7" width="11.28125" style="0" customWidth="1"/>
    <col min="8" max="8" width="12.421875" style="0" customWidth="1"/>
    <col min="9" max="9" width="14.28125" style="0" customWidth="1"/>
    <col min="10" max="10" width="11.28125" style="0" customWidth="1"/>
    <col min="11" max="12" width="14.421875" style="0" customWidth="1"/>
    <col min="13" max="13" width="14.00390625" style="0" customWidth="1"/>
    <col min="14" max="14" width="10.28125" style="0" bestFit="1" customWidth="1"/>
    <col min="15" max="15" width="15.00390625" style="0" bestFit="1" customWidth="1"/>
    <col min="16" max="19" width="8.7109375" style="0" customWidth="1"/>
    <col min="20" max="20" width="19.140625" style="0" customWidth="1"/>
  </cols>
  <sheetData>
    <row r="1" spans="2:15" ht="39" customHeight="1">
      <c r="B1" s="344" t="s">
        <v>99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ht="42" customHeight="1"/>
    <row r="3" spans="2:16" ht="26.25" customHeight="1">
      <c r="B3" s="103" t="s">
        <v>43</v>
      </c>
      <c r="C3" s="251" t="s">
        <v>25</v>
      </c>
      <c r="D3" s="102" t="s">
        <v>21</v>
      </c>
      <c r="E3" s="251" t="s">
        <v>26</v>
      </c>
      <c r="F3" s="251" t="s">
        <v>22</v>
      </c>
      <c r="G3" s="251" t="s">
        <v>27</v>
      </c>
      <c r="H3" s="102" t="s">
        <v>140</v>
      </c>
      <c r="I3" s="102" t="s">
        <v>141</v>
      </c>
      <c r="J3" s="102" t="s">
        <v>28</v>
      </c>
      <c r="K3" s="102" t="s">
        <v>100</v>
      </c>
      <c r="L3" s="102" t="s">
        <v>136</v>
      </c>
      <c r="M3" s="102" t="s">
        <v>135</v>
      </c>
      <c r="N3" s="105" t="s">
        <v>29</v>
      </c>
      <c r="O3" s="105" t="s">
        <v>30</v>
      </c>
      <c r="P3" s="105" t="s">
        <v>31</v>
      </c>
    </row>
    <row r="4" spans="2:16" ht="12.75">
      <c r="B4" s="112" t="s">
        <v>94</v>
      </c>
      <c r="C4" s="200">
        <v>530</v>
      </c>
      <c r="D4" s="200">
        <v>197163</v>
      </c>
      <c r="E4" s="200">
        <v>2343</v>
      </c>
      <c r="F4" s="196">
        <f>D4+E4</f>
        <v>199506</v>
      </c>
      <c r="G4" s="200">
        <v>294901</v>
      </c>
      <c r="H4" s="193">
        <v>22.286325000000005</v>
      </c>
      <c r="I4" s="193">
        <v>978.6671592545418</v>
      </c>
      <c r="J4" s="195">
        <f>I4/365</f>
        <v>2.681279888368608</v>
      </c>
      <c r="K4" s="192">
        <f>I4/1024</f>
        <v>0.9557296477095135</v>
      </c>
      <c r="L4" s="193">
        <v>1097.2771600335527</v>
      </c>
      <c r="M4" s="194">
        <v>22.840950000000003</v>
      </c>
      <c r="N4" s="192">
        <f>C17</f>
        <v>134.378521</v>
      </c>
      <c r="O4" s="192">
        <f>C30</f>
        <v>874.061997302417</v>
      </c>
      <c r="P4" s="195">
        <f>O4/365</f>
        <v>2.3946904035682657</v>
      </c>
    </row>
    <row r="5" spans="2:20" ht="12.75">
      <c r="B5" s="281" t="s">
        <v>162</v>
      </c>
      <c r="C5" s="281" t="s">
        <v>161</v>
      </c>
      <c r="D5" s="281" t="s">
        <v>160</v>
      </c>
      <c r="E5" s="281" t="s">
        <v>161</v>
      </c>
      <c r="F5" s="282"/>
      <c r="G5" s="281" t="s">
        <v>160</v>
      </c>
      <c r="H5" s="281" t="s">
        <v>161</v>
      </c>
      <c r="I5" s="281" t="s">
        <v>161</v>
      </c>
      <c r="J5" s="280"/>
      <c r="K5" s="280"/>
      <c r="L5" s="281" t="s">
        <v>169</v>
      </c>
      <c r="M5" s="281" t="s">
        <v>169</v>
      </c>
      <c r="N5" s="280"/>
      <c r="O5" s="280"/>
      <c r="P5" s="280"/>
      <c r="Q5" s="280"/>
      <c r="R5" s="280"/>
      <c r="S5" s="280"/>
      <c r="T5" s="280"/>
    </row>
    <row r="6" spans="2:16" ht="12.75">
      <c r="B6" s="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16" ht="12.75">
      <c r="B7" s="113" t="s">
        <v>73</v>
      </c>
      <c r="C7" s="125"/>
      <c r="D7" s="125"/>
      <c r="E7" s="125"/>
      <c r="F7" s="125"/>
      <c r="G7" s="124"/>
      <c r="H7" s="124"/>
      <c r="I7" s="125"/>
      <c r="J7" s="124"/>
      <c r="K7" s="124"/>
      <c r="L7" s="124"/>
      <c r="M7" s="125"/>
      <c r="N7" s="125"/>
      <c r="O7" s="125"/>
      <c r="P7" s="125"/>
    </row>
    <row r="8" spans="2:16" ht="12.75">
      <c r="B8" s="103" t="s">
        <v>54</v>
      </c>
      <c r="C8" s="129" t="s">
        <v>94</v>
      </c>
      <c r="D8" s="42"/>
      <c r="E8" s="125"/>
      <c r="F8" s="126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2:16" ht="12.75">
      <c r="B9" s="266" t="s">
        <v>46</v>
      </c>
      <c r="C9" s="265">
        <v>17.264522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2:16" ht="12.75">
      <c r="B10" s="266" t="s">
        <v>47</v>
      </c>
      <c r="C10" s="265">
        <v>22.105112</v>
      </c>
      <c r="D10" s="127"/>
      <c r="E10" s="125"/>
      <c r="F10" s="125"/>
      <c r="G10" s="125"/>
      <c r="H10" s="125"/>
      <c r="I10" s="125"/>
      <c r="J10" s="125"/>
      <c r="K10" s="128"/>
      <c r="L10" s="125"/>
      <c r="M10" s="125"/>
      <c r="N10" s="125"/>
      <c r="O10" s="125"/>
      <c r="P10" s="125"/>
    </row>
    <row r="11" spans="2:16" ht="12.75">
      <c r="B11" s="266" t="s">
        <v>48</v>
      </c>
      <c r="C11" s="265">
        <v>65.958473</v>
      </c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2:16" ht="12.75">
      <c r="B12" s="266" t="s">
        <v>49</v>
      </c>
      <c r="C12" s="265">
        <v>89.748705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12.75">
      <c r="B13" s="266" t="s">
        <v>50</v>
      </c>
      <c r="C13" s="265">
        <v>69.865531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6" ht="12.75">
      <c r="B14" s="266" t="s">
        <v>52</v>
      </c>
      <c r="C14" s="265">
        <v>72.539675</v>
      </c>
      <c r="D14" s="12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6" ht="12.75">
      <c r="B15" s="266" t="s">
        <v>85</v>
      </c>
      <c r="C15" s="265">
        <v>76.3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2:16" ht="12.75">
      <c r="B16" s="266" t="s">
        <v>109</v>
      </c>
      <c r="C16" s="265">
        <v>123.179919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8" s="3" customFormat="1" ht="12.75">
      <c r="A17"/>
      <c r="B17" s="267" t="s">
        <v>134</v>
      </c>
      <c r="C17" s="268">
        <v>134.378521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R17"/>
    </row>
    <row r="18" spans="1:18" s="3" customFormat="1" ht="12.75">
      <c r="A18"/>
      <c r="B1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R18"/>
    </row>
    <row r="19" spans="1:18" s="3" customFormat="1" ht="12.75">
      <c r="A19"/>
      <c r="B19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R19"/>
    </row>
    <row r="20" spans="1:18" s="3" customFormat="1" ht="12.75">
      <c r="A20"/>
      <c r="B20" s="40" t="s">
        <v>30</v>
      </c>
      <c r="C20" s="125"/>
      <c r="D20" s="42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R20"/>
    </row>
    <row r="21" spans="1:18" s="3" customFormat="1" ht="12.75">
      <c r="A21"/>
      <c r="B21" s="103" t="s">
        <v>54</v>
      </c>
      <c r="C21" s="129" t="s">
        <v>94</v>
      </c>
      <c r="D21" s="1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R21"/>
    </row>
    <row r="22" spans="2:16" ht="12.75">
      <c r="B22" s="266" t="s">
        <v>46</v>
      </c>
      <c r="C22" s="192">
        <v>239.357451171875</v>
      </c>
      <c r="D22" s="12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12.75">
      <c r="B23" s="266" t="s">
        <v>47</v>
      </c>
      <c r="C23" s="192">
        <v>475.84899414062494</v>
      </c>
      <c r="D23" s="1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ht="12.75">
      <c r="B24" s="266" t="s">
        <v>48</v>
      </c>
      <c r="C24" s="192">
        <v>833.81921875</v>
      </c>
      <c r="D24" s="12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12.75">
      <c r="B25" s="266" t="s">
        <v>49</v>
      </c>
      <c r="C25" s="192">
        <v>856.63578125</v>
      </c>
      <c r="D25" s="128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ht="12.75">
      <c r="B26" s="266" t="s">
        <v>50</v>
      </c>
      <c r="C26" s="192">
        <v>891.626412060547</v>
      </c>
      <c r="D26" s="12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ht="12.75">
      <c r="B27" s="266" t="s">
        <v>52</v>
      </c>
      <c r="C27" s="192">
        <v>786.3668250761989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ht="12.75">
      <c r="B28" s="266" t="s">
        <v>85</v>
      </c>
      <c r="C28" s="265">
        <v>763.04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ht="12.75">
      <c r="B29" s="266" t="s">
        <v>109</v>
      </c>
      <c r="C29" s="265">
        <v>889.1336167524994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ht="12.75">
      <c r="B30" s="267" t="s">
        <v>134</v>
      </c>
      <c r="C30" s="268">
        <v>874.061997302417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243"/>
  <sheetViews>
    <sheetView zoomScalePageLayoutView="0" workbookViewId="0" topLeftCell="A1">
      <selection activeCell="D189" sqref="D189"/>
    </sheetView>
  </sheetViews>
  <sheetFormatPr defaultColWidth="8.7109375" defaultRowHeight="12.75"/>
  <cols>
    <col min="1" max="1" width="8.7109375" style="83" customWidth="1"/>
    <col min="2" max="2" width="12.7109375" style="83" customWidth="1"/>
    <col min="3" max="3" width="12.140625" style="83" customWidth="1"/>
    <col min="4" max="4" width="11.421875" style="83" customWidth="1"/>
    <col min="5" max="5" width="12.28125" style="83" customWidth="1"/>
    <col min="6" max="6" width="11.421875" style="83" customWidth="1"/>
    <col min="7" max="235" width="8.7109375" style="83" customWidth="1"/>
    <col min="236" max="236" width="14.421875" style="83" customWidth="1"/>
    <col min="237" max="237" width="16.421875" style="83" customWidth="1"/>
    <col min="238" max="238" width="14.421875" style="83" customWidth="1"/>
    <col min="239" max="241" width="8.7109375" style="83" customWidth="1"/>
    <col min="242" max="242" width="10.28125" style="83" bestFit="1" customWidth="1"/>
    <col min="243" max="243" width="10.140625" style="83" customWidth="1"/>
    <col min="244" max="244" width="11.421875" style="83" customWidth="1"/>
    <col min="245" max="245" width="11.00390625" style="83" customWidth="1"/>
    <col min="246" max="246" width="6.28125" style="83" customWidth="1"/>
    <col min="247" max="247" width="11.28125" style="83" customWidth="1"/>
    <col min="248" max="248" width="14.7109375" style="83" bestFit="1" customWidth="1"/>
    <col min="249" max="16384" width="8.7109375" style="83" customWidth="1"/>
  </cols>
  <sheetData>
    <row r="1" ht="12.75">
      <c r="A1" s="82" t="s">
        <v>82</v>
      </c>
    </row>
    <row r="2" spans="1:5" ht="26.25">
      <c r="A2" s="84" t="s">
        <v>17</v>
      </c>
      <c r="B2" s="85" t="s">
        <v>94</v>
      </c>
      <c r="D2" s="84" t="s">
        <v>17</v>
      </c>
      <c r="E2" s="85" t="s">
        <v>94</v>
      </c>
    </row>
    <row r="3" spans="1:6" ht="15.75" customHeight="1">
      <c r="A3" s="254" t="str">
        <f>D3</f>
        <v>2017-09</v>
      </c>
      <c r="B3" s="198">
        <f aca="true" t="shared" si="0" ref="B3:B15">E3/1000000</f>
        <v>12.124456</v>
      </c>
      <c r="D3" s="257" t="s">
        <v>110</v>
      </c>
      <c r="E3" s="201">
        <v>12124456</v>
      </c>
      <c r="F3" s="139" t="s">
        <v>115</v>
      </c>
    </row>
    <row r="4" spans="1:5" ht="12.75">
      <c r="A4" s="254" t="str">
        <f aca="true" t="shared" si="1" ref="A4:A15">D4</f>
        <v>2017-10</v>
      </c>
      <c r="B4" s="198">
        <f t="shared" si="0"/>
        <v>12.604197</v>
      </c>
      <c r="D4" s="257" t="s">
        <v>119</v>
      </c>
      <c r="E4" s="201">
        <v>12604197</v>
      </c>
    </row>
    <row r="5" spans="1:5" ht="12.75">
      <c r="A5" s="254" t="str">
        <f t="shared" si="1"/>
        <v>2017-11</v>
      </c>
      <c r="B5" s="198">
        <f t="shared" si="0"/>
        <v>12.037292</v>
      </c>
      <c r="D5" s="257" t="s">
        <v>120</v>
      </c>
      <c r="E5" s="201">
        <v>12037292</v>
      </c>
    </row>
    <row r="6" spans="1:5" ht="12.75">
      <c r="A6" s="254" t="str">
        <f t="shared" si="1"/>
        <v>2017-12</v>
      </c>
      <c r="B6" s="198">
        <f t="shared" si="0"/>
        <v>16.341418</v>
      </c>
      <c r="D6" s="257" t="s">
        <v>121</v>
      </c>
      <c r="E6" s="201">
        <v>16341418</v>
      </c>
    </row>
    <row r="7" spans="1:5" ht="12.75">
      <c r="A7" s="254" t="str">
        <f t="shared" si="1"/>
        <v>2018-01</v>
      </c>
      <c r="B7" s="198">
        <f t="shared" si="0"/>
        <v>15.872371</v>
      </c>
      <c r="D7" s="257" t="s">
        <v>122</v>
      </c>
      <c r="E7" s="201">
        <v>15872371</v>
      </c>
    </row>
    <row r="8" spans="1:5" ht="12.75">
      <c r="A8" s="254" t="str">
        <f t="shared" si="1"/>
        <v>2018-02</v>
      </c>
      <c r="B8" s="198">
        <f t="shared" si="0"/>
        <v>14.951246</v>
      </c>
      <c r="D8" s="257" t="s">
        <v>123</v>
      </c>
      <c r="E8" s="201">
        <v>14951246</v>
      </c>
    </row>
    <row r="9" spans="1:5" ht="12.75">
      <c r="A9" s="254" t="str">
        <f t="shared" si="1"/>
        <v>2018-03</v>
      </c>
      <c r="B9" s="198">
        <f t="shared" si="0"/>
        <v>15.716153</v>
      </c>
      <c r="D9" s="257" t="s">
        <v>124</v>
      </c>
      <c r="E9" s="201">
        <v>15716153</v>
      </c>
    </row>
    <row r="10" spans="1:5" ht="12.75">
      <c r="A10" s="254" t="str">
        <f t="shared" si="1"/>
        <v>2018-04</v>
      </c>
      <c r="B10" s="198">
        <f t="shared" si="0"/>
        <v>11.265043</v>
      </c>
      <c r="D10" s="257" t="s">
        <v>125</v>
      </c>
      <c r="E10" s="201">
        <v>11265043</v>
      </c>
    </row>
    <row r="11" spans="1:5" ht="12.75">
      <c r="A11" s="254" t="str">
        <f t="shared" si="1"/>
        <v>2018-05</v>
      </c>
      <c r="B11" s="198">
        <f t="shared" si="0"/>
        <v>9.035613</v>
      </c>
      <c r="D11" s="257" t="s">
        <v>126</v>
      </c>
      <c r="E11" s="201">
        <v>9035613</v>
      </c>
    </row>
    <row r="12" spans="1:5" ht="12.75">
      <c r="A12" s="254" t="str">
        <f t="shared" si="1"/>
        <v>2018-06</v>
      </c>
      <c r="B12" s="198">
        <f t="shared" si="0"/>
        <v>5.441996</v>
      </c>
      <c r="D12" s="257" t="s">
        <v>127</v>
      </c>
      <c r="E12" s="201">
        <v>5441996</v>
      </c>
    </row>
    <row r="13" spans="1:5" ht="12.75">
      <c r="A13" s="254" t="str">
        <f t="shared" si="1"/>
        <v>2018-07</v>
      </c>
      <c r="B13" s="198">
        <f t="shared" si="0"/>
        <v>5.483145</v>
      </c>
      <c r="D13" s="257" t="s">
        <v>128</v>
      </c>
      <c r="E13" s="201">
        <v>5483145</v>
      </c>
    </row>
    <row r="14" spans="1:5" ht="12.75">
      <c r="A14" s="254" t="str">
        <f t="shared" si="1"/>
        <v>2018-08</v>
      </c>
      <c r="B14" s="198">
        <f t="shared" si="0"/>
        <v>7.552799</v>
      </c>
      <c r="D14" s="257" t="s">
        <v>129</v>
      </c>
      <c r="E14" s="201">
        <v>7552799</v>
      </c>
    </row>
    <row r="15" spans="1:5" ht="12.75">
      <c r="A15" s="254" t="str">
        <f t="shared" si="1"/>
        <v>2018-09</v>
      </c>
      <c r="B15" s="198">
        <f t="shared" si="0"/>
        <v>8.077248</v>
      </c>
      <c r="D15" s="257" t="s">
        <v>130</v>
      </c>
      <c r="E15" s="201">
        <v>8077248</v>
      </c>
    </row>
    <row r="16" spans="1:5" ht="12.75">
      <c r="A16" s="255" t="s">
        <v>19</v>
      </c>
      <c r="B16" s="198">
        <f>SUM(B4:B15)</f>
        <v>134.378521</v>
      </c>
      <c r="D16" s="255" t="s">
        <v>19</v>
      </c>
      <c r="E16" s="256">
        <f>SUM(E4:E15)</f>
        <v>134378521</v>
      </c>
    </row>
    <row r="17" spans="1:4" ht="12.75">
      <c r="A17" s="217" t="s">
        <v>36</v>
      </c>
      <c r="B17" s="197">
        <f>AVERAGE(B4:B15)</f>
        <v>11.198210083333334</v>
      </c>
      <c r="D17" s="83" t="s">
        <v>170</v>
      </c>
    </row>
    <row r="18" spans="1:2" ht="12.75">
      <c r="A18" s="258" t="s">
        <v>131</v>
      </c>
      <c r="B18" s="259">
        <v>123.179919</v>
      </c>
    </row>
    <row r="20" spans="1:5" ht="12.75">
      <c r="A20" s="83" t="s">
        <v>37</v>
      </c>
      <c r="B20" s="207"/>
      <c r="C20" s="78"/>
      <c r="D20" s="78"/>
      <c r="E20" s="78"/>
    </row>
    <row r="21" spans="1:5" ht="12.75">
      <c r="A21" s="208" t="s">
        <v>20</v>
      </c>
      <c r="B21" s="209" t="s">
        <v>94</v>
      </c>
      <c r="C21" s="90"/>
      <c r="D21" s="90"/>
      <c r="E21" s="90"/>
    </row>
    <row r="22" spans="1:4" ht="12.75">
      <c r="A22" s="210">
        <v>43009</v>
      </c>
      <c r="B22" s="216">
        <f aca="true" t="shared" si="2" ref="B22:B33">B4-B$17</f>
        <v>1.4059869166666648</v>
      </c>
      <c r="C22" s="91"/>
      <c r="D22" s="91"/>
    </row>
    <row r="23" spans="1:2" ht="12.75">
      <c r="A23" s="210">
        <v>43040</v>
      </c>
      <c r="B23" s="216">
        <f t="shared" si="2"/>
        <v>0.8390819166666663</v>
      </c>
    </row>
    <row r="24" spans="1:2" ht="12.75">
      <c r="A24" s="210">
        <v>43070</v>
      </c>
      <c r="B24" s="216">
        <f t="shared" si="2"/>
        <v>5.143207916666666</v>
      </c>
    </row>
    <row r="25" spans="1:2" ht="12.75">
      <c r="A25" s="210">
        <v>43101</v>
      </c>
      <c r="B25" s="216">
        <f t="shared" si="2"/>
        <v>4.674160916666665</v>
      </c>
    </row>
    <row r="26" spans="1:2" ht="12.75">
      <c r="A26" s="210">
        <v>43132</v>
      </c>
      <c r="B26" s="216">
        <f t="shared" si="2"/>
        <v>3.753035916666665</v>
      </c>
    </row>
    <row r="27" spans="1:2" ht="12.75">
      <c r="A27" s="210">
        <v>43160</v>
      </c>
      <c r="B27" s="216">
        <f t="shared" si="2"/>
        <v>4.517942916666666</v>
      </c>
    </row>
    <row r="28" spans="1:2" ht="12.75">
      <c r="A28" s="210">
        <v>43191</v>
      </c>
      <c r="B28" s="216">
        <f t="shared" si="2"/>
        <v>0.06683291666666591</v>
      </c>
    </row>
    <row r="29" spans="1:2" ht="12.75">
      <c r="A29" s="210">
        <v>43221</v>
      </c>
      <c r="B29" s="216">
        <f t="shared" si="2"/>
        <v>-2.162597083333335</v>
      </c>
    </row>
    <row r="30" spans="1:2" ht="12.75">
      <c r="A30" s="210">
        <v>43252</v>
      </c>
      <c r="B30" s="216">
        <f t="shared" si="2"/>
        <v>-5.756214083333335</v>
      </c>
    </row>
    <row r="31" spans="1:2" ht="12.75">
      <c r="A31" s="210">
        <v>43282</v>
      </c>
      <c r="B31" s="216">
        <f t="shared" si="2"/>
        <v>-5.715065083333334</v>
      </c>
    </row>
    <row r="32" spans="1:2" ht="12.75">
      <c r="A32" s="210">
        <v>43313</v>
      </c>
      <c r="B32" s="216">
        <f t="shared" si="2"/>
        <v>-3.645411083333334</v>
      </c>
    </row>
    <row r="33" spans="1:2" ht="12.75">
      <c r="A33" s="210">
        <v>43344</v>
      </c>
      <c r="B33" s="216">
        <f t="shared" si="2"/>
        <v>-3.1209620833333336</v>
      </c>
    </row>
    <row r="34" spans="1:2" ht="12.75">
      <c r="A34" s="208" t="s">
        <v>15</v>
      </c>
      <c r="B34" s="220">
        <f>SUM(B22:B33)</f>
        <v>-1.4210854715202004E-14</v>
      </c>
    </row>
    <row r="35" spans="2:5" ht="12.75">
      <c r="B35" s="92"/>
      <c r="C35" s="92"/>
      <c r="D35" s="92"/>
      <c r="E35" s="92"/>
    </row>
    <row r="36" spans="1:5" ht="12.75">
      <c r="A36" s="83" t="s">
        <v>38</v>
      </c>
      <c r="B36" s="207"/>
      <c r="C36" s="78"/>
      <c r="D36" s="78"/>
      <c r="E36" s="78"/>
    </row>
    <row r="37" spans="1:5" ht="12.75">
      <c r="A37" s="208" t="s">
        <v>20</v>
      </c>
      <c r="B37" s="209" t="s">
        <v>94</v>
      </c>
      <c r="C37" s="90"/>
      <c r="D37" s="90"/>
      <c r="E37" s="90"/>
    </row>
    <row r="38" spans="1:2" ht="12.75">
      <c r="A38" s="210">
        <f>A22</f>
        <v>43009</v>
      </c>
      <c r="B38" s="216">
        <f>B4-B3</f>
        <v>0.47974099999999886</v>
      </c>
    </row>
    <row r="39" spans="1:3" ht="12.75">
      <c r="A39" s="210">
        <f aca="true" t="shared" si="3" ref="A39:A49">A23</f>
        <v>43040</v>
      </c>
      <c r="B39" s="216">
        <f>B5-B4</f>
        <v>-0.5669049999999984</v>
      </c>
      <c r="C39" s="93"/>
    </row>
    <row r="40" spans="1:3" ht="12.75">
      <c r="A40" s="210">
        <f t="shared" si="3"/>
        <v>43070</v>
      </c>
      <c r="B40" s="216">
        <f aca="true" t="shared" si="4" ref="B40:B49">B6-B5</f>
        <v>4.304126</v>
      </c>
      <c r="C40" s="93"/>
    </row>
    <row r="41" spans="1:3" ht="12.75">
      <c r="A41" s="210">
        <f t="shared" si="3"/>
        <v>43101</v>
      </c>
      <c r="B41" s="216">
        <f t="shared" si="4"/>
        <v>-0.46904700000000155</v>
      </c>
      <c r="C41" s="93"/>
    </row>
    <row r="42" spans="1:3" ht="12.75">
      <c r="A42" s="210">
        <f t="shared" si="3"/>
        <v>43132</v>
      </c>
      <c r="B42" s="216">
        <f t="shared" si="4"/>
        <v>-0.921125</v>
      </c>
      <c r="C42" s="93"/>
    </row>
    <row r="43" spans="1:3" ht="12.75">
      <c r="A43" s="210">
        <f t="shared" si="3"/>
        <v>43160</v>
      </c>
      <c r="B43" s="216">
        <f t="shared" si="4"/>
        <v>0.7649070000000009</v>
      </c>
      <c r="C43" s="93"/>
    </row>
    <row r="44" spans="1:3" ht="12.75">
      <c r="A44" s="210">
        <f t="shared" si="3"/>
        <v>43191</v>
      </c>
      <c r="B44" s="216">
        <f t="shared" si="4"/>
        <v>-4.45111</v>
      </c>
      <c r="C44" s="93"/>
    </row>
    <row r="45" spans="1:3" ht="12.75">
      <c r="A45" s="210">
        <f t="shared" si="3"/>
        <v>43221</v>
      </c>
      <c r="B45" s="216">
        <f t="shared" si="4"/>
        <v>-2.2294300000000007</v>
      </c>
      <c r="C45" s="93"/>
    </row>
    <row r="46" spans="1:3" ht="12.75">
      <c r="A46" s="210">
        <f t="shared" si="3"/>
        <v>43252</v>
      </c>
      <c r="B46" s="216">
        <f t="shared" si="4"/>
        <v>-3.593617</v>
      </c>
      <c r="C46" s="93"/>
    </row>
    <row r="47" spans="1:3" ht="12.75">
      <c r="A47" s="210">
        <f t="shared" si="3"/>
        <v>43282</v>
      </c>
      <c r="B47" s="216">
        <f t="shared" si="4"/>
        <v>0.04114900000000077</v>
      </c>
      <c r="C47" s="93"/>
    </row>
    <row r="48" spans="1:3" ht="12.75">
      <c r="A48" s="210">
        <f t="shared" si="3"/>
        <v>43313</v>
      </c>
      <c r="B48" s="216">
        <f t="shared" si="4"/>
        <v>2.069654</v>
      </c>
      <c r="C48" s="93"/>
    </row>
    <row r="49" spans="1:6" ht="12.75">
      <c r="A49" s="210">
        <f t="shared" si="3"/>
        <v>43344</v>
      </c>
      <c r="B49" s="216">
        <f t="shared" si="4"/>
        <v>0.5244490000000006</v>
      </c>
      <c r="C49" s="93"/>
      <c r="F49" s="93"/>
    </row>
    <row r="50" spans="1:6" ht="12.75">
      <c r="A50" s="208" t="s">
        <v>15</v>
      </c>
      <c r="B50" s="216">
        <f>SUM(B38:B49)</f>
        <v>-4.0472079999999995</v>
      </c>
      <c r="F50" s="93"/>
    </row>
    <row r="54" ht="12.75">
      <c r="A54" s="82" t="s">
        <v>40</v>
      </c>
    </row>
    <row r="55" spans="1:5" ht="12.75">
      <c r="A55" s="253" t="s">
        <v>30</v>
      </c>
      <c r="B55" s="209" t="s">
        <v>94</v>
      </c>
      <c r="D55" s="84" t="s">
        <v>41</v>
      </c>
      <c r="E55" s="85" t="s">
        <v>94</v>
      </c>
    </row>
    <row r="56" spans="1:6" ht="12.75">
      <c r="A56" s="254" t="str">
        <f>D56</f>
        <v>2017-09</v>
      </c>
      <c r="B56" s="198">
        <f aca="true" t="shared" si="5" ref="B56:B68">E56/1024</f>
        <v>74.40558276118452</v>
      </c>
      <c r="D56" s="252" t="str">
        <f>D3</f>
        <v>2017-09</v>
      </c>
      <c r="E56" s="202">
        <v>76191.31674745295</v>
      </c>
      <c r="F56" s="139" t="s">
        <v>115</v>
      </c>
    </row>
    <row r="57" spans="1:5" ht="12.75">
      <c r="A57" s="254" t="str">
        <f aca="true" t="shared" si="6" ref="A57:A68">D57</f>
        <v>2017-10</v>
      </c>
      <c r="B57" s="198">
        <f t="shared" si="5"/>
        <v>79.66868920155763</v>
      </c>
      <c r="D57" s="252" t="str">
        <f aca="true" t="shared" si="7" ref="D57:D68">D4</f>
        <v>2017-10</v>
      </c>
      <c r="E57" s="202">
        <v>81580.73774239501</v>
      </c>
    </row>
    <row r="58" spans="1:5" ht="12.75">
      <c r="A58" s="254" t="str">
        <f t="shared" si="6"/>
        <v>2017-11</v>
      </c>
      <c r="B58" s="198">
        <f t="shared" si="5"/>
        <v>53.549764337867515</v>
      </c>
      <c r="D58" s="252" t="str">
        <f t="shared" si="7"/>
        <v>2017-11</v>
      </c>
      <c r="E58" s="202">
        <v>54834.958681976335</v>
      </c>
    </row>
    <row r="59" spans="1:9" ht="12.75">
      <c r="A59" s="254" t="str">
        <f t="shared" si="6"/>
        <v>2017-12</v>
      </c>
      <c r="B59" s="198">
        <f t="shared" si="5"/>
        <v>61.17392360620119</v>
      </c>
      <c r="D59" s="252" t="str">
        <f t="shared" si="7"/>
        <v>2017-12</v>
      </c>
      <c r="E59" s="202">
        <v>62642.09777275002</v>
      </c>
      <c r="I59" s="87" t="s">
        <v>95</v>
      </c>
    </row>
    <row r="60" spans="1:5" ht="12.75">
      <c r="A60" s="254" t="str">
        <f t="shared" si="6"/>
        <v>2018-01</v>
      </c>
      <c r="B60" s="198">
        <f t="shared" si="5"/>
        <v>64.34456845878037</v>
      </c>
      <c r="D60" s="252" t="str">
        <f t="shared" si="7"/>
        <v>2018-01</v>
      </c>
      <c r="E60" s="202">
        <v>65888.8381017911</v>
      </c>
    </row>
    <row r="61" spans="1:5" ht="12.75">
      <c r="A61" s="254" t="str">
        <f t="shared" si="6"/>
        <v>2018-02</v>
      </c>
      <c r="B61" s="198">
        <f t="shared" si="5"/>
        <v>56.82309955280283</v>
      </c>
      <c r="D61" s="252" t="str">
        <f t="shared" si="7"/>
        <v>2018-02</v>
      </c>
      <c r="E61" s="202">
        <v>58186.8539420701</v>
      </c>
    </row>
    <row r="62" spans="1:5" ht="12.75">
      <c r="A62" s="254" t="str">
        <f t="shared" si="6"/>
        <v>2018-03</v>
      </c>
      <c r="B62" s="198">
        <f t="shared" si="5"/>
        <v>64.23492319401785</v>
      </c>
      <c r="D62" s="252" t="str">
        <f t="shared" si="7"/>
        <v>2018-03</v>
      </c>
      <c r="E62" s="202">
        <v>65776.56135067428</v>
      </c>
    </row>
    <row r="63" spans="1:5" ht="12.75">
      <c r="A63" s="254" t="str">
        <f t="shared" si="6"/>
        <v>2018-04</v>
      </c>
      <c r="B63" s="198">
        <f t="shared" si="5"/>
        <v>65.29397227470773</v>
      </c>
      <c r="D63" s="252" t="str">
        <f t="shared" si="7"/>
        <v>2018-04</v>
      </c>
      <c r="E63" s="202">
        <v>66861.02760930071</v>
      </c>
    </row>
    <row r="64" spans="1:5" ht="12.75">
      <c r="A64" s="254" t="str">
        <f t="shared" si="6"/>
        <v>2018-05</v>
      </c>
      <c r="B64" s="198">
        <f t="shared" si="5"/>
        <v>77.33310034354945</v>
      </c>
      <c r="D64" s="252" t="str">
        <f t="shared" si="7"/>
        <v>2018-05</v>
      </c>
      <c r="E64" s="202">
        <v>79189.09475179463</v>
      </c>
    </row>
    <row r="65" spans="1:5" ht="12.75">
      <c r="A65" s="254" t="str">
        <f t="shared" si="6"/>
        <v>2018-06</v>
      </c>
      <c r="B65" s="198">
        <f t="shared" si="5"/>
        <v>76.99144527206306</v>
      </c>
      <c r="D65" s="252" t="str">
        <f t="shared" si="7"/>
        <v>2018-06</v>
      </c>
      <c r="E65" s="202">
        <v>78839.23995859257</v>
      </c>
    </row>
    <row r="66" spans="1:5" ht="12.75">
      <c r="A66" s="254" t="str">
        <f t="shared" si="6"/>
        <v>2018-07</v>
      </c>
      <c r="B66" s="198">
        <f t="shared" si="5"/>
        <v>82.19598775679601</v>
      </c>
      <c r="D66" s="252" t="str">
        <f t="shared" si="7"/>
        <v>2018-07</v>
      </c>
      <c r="E66" s="202">
        <v>84168.69146295912</v>
      </c>
    </row>
    <row r="67" spans="1:5" ht="12.75">
      <c r="A67" s="254" t="str">
        <f t="shared" si="6"/>
        <v>2018-08</v>
      </c>
      <c r="B67" s="198">
        <f t="shared" si="5"/>
        <v>94.19165814725497</v>
      </c>
      <c r="D67" s="252" t="str">
        <f t="shared" si="7"/>
        <v>2018-08</v>
      </c>
      <c r="E67" s="202">
        <v>96452.25794278909</v>
      </c>
    </row>
    <row r="68" spans="1:5" ht="12.75">
      <c r="A68" s="254" t="str">
        <f t="shared" si="6"/>
        <v>2018-09</v>
      </c>
      <c r="B68" s="198">
        <f t="shared" si="5"/>
        <v>98.2608651568179</v>
      </c>
      <c r="D68" s="252" t="str">
        <f t="shared" si="7"/>
        <v>2018-09</v>
      </c>
      <c r="E68" s="202">
        <v>100619.12592058153</v>
      </c>
    </row>
    <row r="69" spans="1:5" ht="12.75">
      <c r="A69" s="286" t="s">
        <v>173</v>
      </c>
      <c r="B69" s="198">
        <f>SUM(B57:B68)</f>
        <v>874.0619973024164</v>
      </c>
      <c r="D69" s="260" t="s">
        <v>19</v>
      </c>
      <c r="E69" s="198">
        <f>SUM(E57:E68)</f>
        <v>895039.4852376744</v>
      </c>
    </row>
    <row r="70" spans="1:4" ht="12.75">
      <c r="A70" s="83" t="s">
        <v>36</v>
      </c>
      <c r="B70" s="86">
        <f>AVERAGE(B57:B68)</f>
        <v>72.83849977520137</v>
      </c>
      <c r="D70" s="83" t="s">
        <v>170</v>
      </c>
    </row>
    <row r="71" spans="1:2" ht="12.75">
      <c r="A71" s="258" t="s">
        <v>131</v>
      </c>
      <c r="B71" s="259">
        <v>889.1336167524992</v>
      </c>
    </row>
    <row r="73" spans="1:5" ht="12.75">
      <c r="A73" s="83" t="s">
        <v>37</v>
      </c>
      <c r="B73" s="207"/>
      <c r="C73" s="78"/>
      <c r="D73" s="78"/>
      <c r="E73" s="78"/>
    </row>
    <row r="74" spans="1:5" ht="12.75">
      <c r="A74" s="208" t="s">
        <v>20</v>
      </c>
      <c r="B74" s="209" t="s">
        <v>94</v>
      </c>
      <c r="C74" s="90"/>
      <c r="D74" s="90"/>
      <c r="E74" s="90"/>
    </row>
    <row r="75" spans="1:4" ht="12.75">
      <c r="A75" s="210">
        <f>A38</f>
        <v>43009</v>
      </c>
      <c r="B75" s="216">
        <f>B57-B$70</f>
        <v>6.830189426356256</v>
      </c>
      <c r="C75" s="91"/>
      <c r="D75" s="91"/>
    </row>
    <row r="76" spans="1:2" ht="12.75">
      <c r="A76" s="210">
        <f aca="true" t="shared" si="8" ref="A76:A86">A39</f>
        <v>43040</v>
      </c>
      <c r="B76" s="216">
        <f aca="true" t="shared" si="9" ref="B76:B86">B58-B$70</f>
        <v>-19.288735437333855</v>
      </c>
    </row>
    <row r="77" spans="1:2" ht="12.75">
      <c r="A77" s="210">
        <f t="shared" si="8"/>
        <v>43070</v>
      </c>
      <c r="B77" s="216">
        <f t="shared" si="9"/>
        <v>-11.664576169000178</v>
      </c>
    </row>
    <row r="78" spans="1:2" ht="12.75">
      <c r="A78" s="210">
        <f t="shared" si="8"/>
        <v>43101</v>
      </c>
      <c r="B78" s="216">
        <f t="shared" si="9"/>
        <v>-8.493931316420998</v>
      </c>
    </row>
    <row r="79" spans="1:2" ht="12.75">
      <c r="A79" s="210">
        <f t="shared" si="8"/>
        <v>43132</v>
      </c>
      <c r="B79" s="216">
        <f t="shared" si="9"/>
        <v>-16.01540022239854</v>
      </c>
    </row>
    <row r="80" spans="1:2" ht="12.75">
      <c r="A80" s="210">
        <f t="shared" si="8"/>
        <v>43160</v>
      </c>
      <c r="B80" s="216">
        <f t="shared" si="9"/>
        <v>-8.603576581183518</v>
      </c>
    </row>
    <row r="81" spans="1:2" ht="12.75">
      <c r="A81" s="210">
        <f t="shared" si="8"/>
        <v>43191</v>
      </c>
      <c r="B81" s="216">
        <f t="shared" si="9"/>
        <v>-7.544527500493643</v>
      </c>
    </row>
    <row r="82" spans="1:2" ht="12.75">
      <c r="A82" s="210">
        <f t="shared" si="8"/>
        <v>43221</v>
      </c>
      <c r="B82" s="216">
        <f t="shared" si="9"/>
        <v>4.494600568348076</v>
      </c>
    </row>
    <row r="83" spans="1:2" ht="12.75">
      <c r="A83" s="210">
        <f t="shared" si="8"/>
        <v>43252</v>
      </c>
      <c r="B83" s="216">
        <f t="shared" si="9"/>
        <v>4.15294549686169</v>
      </c>
    </row>
    <row r="84" spans="1:2" ht="12.75">
      <c r="A84" s="210">
        <f t="shared" si="8"/>
        <v>43282</v>
      </c>
      <c r="B84" s="216">
        <f t="shared" si="9"/>
        <v>9.357487981594645</v>
      </c>
    </row>
    <row r="85" spans="1:2" ht="12.75">
      <c r="A85" s="210">
        <f t="shared" si="8"/>
        <v>43313</v>
      </c>
      <c r="B85" s="216">
        <f t="shared" si="9"/>
        <v>21.3531583720536</v>
      </c>
    </row>
    <row r="86" spans="1:2" ht="12.75">
      <c r="A86" s="210">
        <f t="shared" si="8"/>
        <v>43344</v>
      </c>
      <c r="B86" s="216">
        <f t="shared" si="9"/>
        <v>25.42236538161653</v>
      </c>
    </row>
    <row r="87" spans="1:2" ht="12.75">
      <c r="A87" s="208" t="s">
        <v>15</v>
      </c>
      <c r="B87" s="220">
        <f>SUM(B75:B86)</f>
        <v>7.105427357601002E-14</v>
      </c>
    </row>
    <row r="88" spans="2:5" ht="12.75">
      <c r="B88" s="92"/>
      <c r="C88" s="92"/>
      <c r="D88" s="92"/>
      <c r="E88" s="92"/>
    </row>
    <row r="89" spans="1:5" ht="12.75">
      <c r="A89" s="83" t="s">
        <v>38</v>
      </c>
      <c r="B89" s="88"/>
      <c r="C89" s="78"/>
      <c r="D89" s="78"/>
      <c r="E89" s="78"/>
    </row>
    <row r="90" spans="1:5" ht="12.75">
      <c r="A90" s="217" t="s">
        <v>20</v>
      </c>
      <c r="B90" s="209" t="s">
        <v>94</v>
      </c>
      <c r="C90" s="89"/>
      <c r="D90" s="90"/>
      <c r="E90" s="90"/>
    </row>
    <row r="91" spans="1:2" ht="12.75">
      <c r="A91" s="218">
        <f>A75</f>
        <v>43009</v>
      </c>
      <c r="B91" s="199">
        <f>B57-B56</f>
        <v>5.263106440373107</v>
      </c>
    </row>
    <row r="92" spans="1:3" ht="12.75">
      <c r="A92" s="218">
        <f aca="true" t="shared" si="10" ref="A92:A102">A76</f>
        <v>43040</v>
      </c>
      <c r="B92" s="199">
        <f>B58-B57</f>
        <v>-26.11892486369011</v>
      </c>
      <c r="C92" s="93"/>
    </row>
    <row r="93" spans="1:3" ht="12.75">
      <c r="A93" s="218">
        <f t="shared" si="10"/>
        <v>43070</v>
      </c>
      <c r="B93" s="199">
        <f aca="true" t="shared" si="11" ref="B93:B102">B59-B58</f>
        <v>7.624159268333678</v>
      </c>
      <c r="C93" s="93"/>
    </row>
    <row r="94" spans="1:3" ht="12.75">
      <c r="A94" s="218">
        <f t="shared" si="10"/>
        <v>43101</v>
      </c>
      <c r="B94" s="199">
        <f t="shared" si="11"/>
        <v>3.17064485257918</v>
      </c>
      <c r="C94" s="93"/>
    </row>
    <row r="95" spans="1:3" ht="12.75">
      <c r="A95" s="218">
        <f t="shared" si="10"/>
        <v>43132</v>
      </c>
      <c r="B95" s="199">
        <f t="shared" si="11"/>
        <v>-7.521468905977542</v>
      </c>
      <c r="C95" s="93"/>
    </row>
    <row r="96" spans="1:3" ht="12.75">
      <c r="A96" s="218">
        <f t="shared" si="10"/>
        <v>43160</v>
      </c>
      <c r="B96" s="199">
        <f t="shared" si="11"/>
        <v>7.4118236412150225</v>
      </c>
      <c r="C96" s="93"/>
    </row>
    <row r="97" spans="1:3" ht="12.75">
      <c r="A97" s="218">
        <f t="shared" si="10"/>
        <v>43191</v>
      </c>
      <c r="B97" s="199">
        <f t="shared" si="11"/>
        <v>1.0590490806898742</v>
      </c>
      <c r="C97" s="93"/>
    </row>
    <row r="98" spans="1:3" ht="12.75">
      <c r="A98" s="218">
        <f t="shared" si="10"/>
        <v>43221</v>
      </c>
      <c r="B98" s="199">
        <f t="shared" si="11"/>
        <v>12.03912806884172</v>
      </c>
      <c r="C98" s="93"/>
    </row>
    <row r="99" spans="1:3" ht="12.75">
      <c r="A99" s="218">
        <f t="shared" si="10"/>
        <v>43252</v>
      </c>
      <c r="B99" s="199">
        <f t="shared" si="11"/>
        <v>-0.34165507148638596</v>
      </c>
      <c r="C99" s="93"/>
    </row>
    <row r="100" spans="1:3" ht="12.75">
      <c r="A100" s="218">
        <f t="shared" si="10"/>
        <v>43282</v>
      </c>
      <c r="B100" s="199">
        <f t="shared" si="11"/>
        <v>5.204542484732954</v>
      </c>
      <c r="C100" s="93"/>
    </row>
    <row r="101" spans="1:3" ht="12.75">
      <c r="A101" s="218">
        <f t="shared" si="10"/>
        <v>43313</v>
      </c>
      <c r="B101" s="199">
        <f t="shared" si="11"/>
        <v>11.995670390458955</v>
      </c>
      <c r="C101" s="93"/>
    </row>
    <row r="102" spans="1:3" ht="12.75">
      <c r="A102" s="218">
        <f t="shared" si="10"/>
        <v>43344</v>
      </c>
      <c r="B102" s="199">
        <f t="shared" si="11"/>
        <v>4.0692070095629305</v>
      </c>
      <c r="C102" s="93"/>
    </row>
    <row r="106" spans="1:4" ht="12.75">
      <c r="A106" s="82" t="s">
        <v>42</v>
      </c>
      <c r="D106" s="83" t="s">
        <v>113</v>
      </c>
    </row>
    <row r="107" spans="1:4" ht="12.75">
      <c r="A107" s="84" t="s">
        <v>24</v>
      </c>
      <c r="B107" s="85" t="s">
        <v>94</v>
      </c>
      <c r="D107" s="83" t="s">
        <v>171</v>
      </c>
    </row>
    <row r="108" spans="1:3" ht="12.75">
      <c r="A108" s="254" t="str">
        <f>A56</f>
        <v>2017-09</v>
      </c>
      <c r="B108" s="203">
        <v>383</v>
      </c>
      <c r="C108" s="139" t="s">
        <v>115</v>
      </c>
    </row>
    <row r="109" spans="1:2" ht="12.75">
      <c r="A109" s="254" t="str">
        <f aca="true" t="shared" si="12" ref="A109:A120">A57</f>
        <v>2017-10</v>
      </c>
      <c r="B109" s="203">
        <v>386</v>
      </c>
    </row>
    <row r="110" spans="1:2" ht="12.75">
      <c r="A110" s="254" t="str">
        <f t="shared" si="12"/>
        <v>2017-11</v>
      </c>
      <c r="B110" s="204">
        <v>364</v>
      </c>
    </row>
    <row r="111" spans="1:2" ht="12.75">
      <c r="A111" s="254" t="str">
        <f t="shared" si="12"/>
        <v>2017-12</v>
      </c>
      <c r="B111" s="204">
        <v>339</v>
      </c>
    </row>
    <row r="112" spans="1:2" ht="12.75">
      <c r="A112" s="254" t="str">
        <f t="shared" si="12"/>
        <v>2018-01</v>
      </c>
      <c r="B112" s="204">
        <v>355</v>
      </c>
    </row>
    <row r="113" spans="1:2" ht="12.75">
      <c r="A113" s="254" t="str">
        <f t="shared" si="12"/>
        <v>2018-02</v>
      </c>
      <c r="B113" s="204">
        <v>359</v>
      </c>
    </row>
    <row r="114" spans="1:2" ht="12.75">
      <c r="A114" s="254" t="str">
        <f t="shared" si="12"/>
        <v>2018-03</v>
      </c>
      <c r="B114" s="204">
        <v>349</v>
      </c>
    </row>
    <row r="115" spans="1:2" ht="12.75">
      <c r="A115" s="254" t="str">
        <f t="shared" si="12"/>
        <v>2018-04</v>
      </c>
      <c r="B115" s="204">
        <v>326</v>
      </c>
    </row>
    <row r="116" spans="1:2" ht="12.75">
      <c r="A116" s="254" t="str">
        <f t="shared" si="12"/>
        <v>2018-05</v>
      </c>
      <c r="B116" s="204">
        <v>333</v>
      </c>
    </row>
    <row r="117" spans="1:2" ht="12.75">
      <c r="A117" s="254" t="str">
        <f t="shared" si="12"/>
        <v>2018-06</v>
      </c>
      <c r="B117" s="204">
        <v>293</v>
      </c>
    </row>
    <row r="118" spans="1:2" ht="12.75">
      <c r="A118" s="254" t="str">
        <f t="shared" si="12"/>
        <v>2018-07</v>
      </c>
      <c r="B118" s="204">
        <v>353</v>
      </c>
    </row>
    <row r="119" spans="1:2" ht="12.75">
      <c r="A119" s="254" t="str">
        <f t="shared" si="12"/>
        <v>2018-08</v>
      </c>
      <c r="B119" s="204">
        <v>317</v>
      </c>
    </row>
    <row r="120" spans="1:2" ht="12.75">
      <c r="A120" s="254" t="str">
        <f t="shared" si="12"/>
        <v>2018-09</v>
      </c>
      <c r="B120" s="204">
        <v>320</v>
      </c>
    </row>
    <row r="121" spans="1:2" ht="12.75">
      <c r="A121" s="286" t="s">
        <v>172</v>
      </c>
      <c r="B121" s="205">
        <f>SUM(B109:B120)</f>
        <v>4094</v>
      </c>
    </row>
    <row r="122" spans="1:2" ht="12.75">
      <c r="A122" s="83" t="s">
        <v>36</v>
      </c>
      <c r="B122" s="191">
        <f>AVERAGE(B109:B120)</f>
        <v>341.1666666666667</v>
      </c>
    </row>
    <row r="123" spans="1:4" ht="12.75">
      <c r="A123" s="258" t="s">
        <v>143</v>
      </c>
      <c r="B123" s="206">
        <v>2343</v>
      </c>
      <c r="C123" s="264">
        <f>(B123-B124)/B124</f>
        <v>-0.084765625</v>
      </c>
      <c r="D123" s="83" t="s">
        <v>114</v>
      </c>
    </row>
    <row r="124" spans="1:4" ht="12.75">
      <c r="A124" s="258" t="s">
        <v>144</v>
      </c>
      <c r="B124" s="206">
        <v>2560</v>
      </c>
      <c r="D124" s="83" t="s">
        <v>114</v>
      </c>
    </row>
    <row r="125" spans="3:5" ht="12.75">
      <c r="C125" s="78"/>
      <c r="D125" s="78"/>
      <c r="E125" s="78"/>
    </row>
    <row r="126" spans="1:5" ht="12.75">
      <c r="A126" s="82" t="s">
        <v>37</v>
      </c>
      <c r="B126" s="207"/>
      <c r="C126" s="90"/>
      <c r="D126" s="90"/>
      <c r="E126" s="90"/>
    </row>
    <row r="127" spans="1:4" ht="12.75">
      <c r="A127" s="208" t="s">
        <v>20</v>
      </c>
      <c r="B127" s="209" t="s">
        <v>94</v>
      </c>
      <c r="C127" s="91"/>
      <c r="D127" s="91"/>
    </row>
    <row r="128" spans="1:2" ht="12.75">
      <c r="A128" s="210">
        <f>A91</f>
        <v>43009</v>
      </c>
      <c r="B128" s="211">
        <f aca="true" t="shared" si="13" ref="B128:B139">B109-B$122</f>
        <v>44.833333333333314</v>
      </c>
    </row>
    <row r="129" spans="1:2" ht="12.75">
      <c r="A129" s="210">
        <f aca="true" t="shared" si="14" ref="A129:A139">A92</f>
        <v>43040</v>
      </c>
      <c r="B129" s="211">
        <f t="shared" si="13"/>
        <v>22.833333333333314</v>
      </c>
    </row>
    <row r="130" spans="1:2" ht="12.75">
      <c r="A130" s="210">
        <f t="shared" si="14"/>
        <v>43070</v>
      </c>
      <c r="B130" s="211">
        <f t="shared" si="13"/>
        <v>-2.1666666666666856</v>
      </c>
    </row>
    <row r="131" spans="1:2" ht="12.75">
      <c r="A131" s="210">
        <f t="shared" si="14"/>
        <v>43101</v>
      </c>
      <c r="B131" s="211">
        <f t="shared" si="13"/>
        <v>13.833333333333314</v>
      </c>
    </row>
    <row r="132" spans="1:2" ht="12.75">
      <c r="A132" s="210">
        <f t="shared" si="14"/>
        <v>43132</v>
      </c>
      <c r="B132" s="211">
        <f t="shared" si="13"/>
        <v>17.833333333333314</v>
      </c>
    </row>
    <row r="133" spans="1:2" ht="12.75">
      <c r="A133" s="210">
        <f t="shared" si="14"/>
        <v>43160</v>
      </c>
      <c r="B133" s="211">
        <f t="shared" si="13"/>
        <v>7.833333333333314</v>
      </c>
    </row>
    <row r="134" spans="1:2" ht="12.75">
      <c r="A134" s="210">
        <f t="shared" si="14"/>
        <v>43191</v>
      </c>
      <c r="B134" s="211">
        <f t="shared" si="13"/>
        <v>-15.166666666666686</v>
      </c>
    </row>
    <row r="135" spans="1:2" ht="12.75">
      <c r="A135" s="210">
        <f t="shared" si="14"/>
        <v>43221</v>
      </c>
      <c r="B135" s="211">
        <f t="shared" si="13"/>
        <v>-8.166666666666686</v>
      </c>
    </row>
    <row r="136" spans="1:2" ht="12.75">
      <c r="A136" s="210">
        <f t="shared" si="14"/>
        <v>43252</v>
      </c>
      <c r="B136" s="211">
        <f t="shared" si="13"/>
        <v>-48.166666666666686</v>
      </c>
    </row>
    <row r="137" spans="1:2" ht="12.75">
      <c r="A137" s="210">
        <f t="shared" si="14"/>
        <v>43282</v>
      </c>
      <c r="B137" s="211">
        <f t="shared" si="13"/>
        <v>11.833333333333314</v>
      </c>
    </row>
    <row r="138" spans="1:2" ht="12.75">
      <c r="A138" s="210">
        <f t="shared" si="14"/>
        <v>43313</v>
      </c>
      <c r="B138" s="211">
        <f t="shared" si="13"/>
        <v>-24.166666666666686</v>
      </c>
    </row>
    <row r="139" spans="1:2" ht="12.75">
      <c r="A139" s="210">
        <f t="shared" si="14"/>
        <v>43344</v>
      </c>
      <c r="B139" s="211">
        <f t="shared" si="13"/>
        <v>-21.166666666666686</v>
      </c>
    </row>
    <row r="140" spans="1:5" ht="12.75">
      <c r="A140" s="208" t="s">
        <v>15</v>
      </c>
      <c r="B140" s="212">
        <f>SUM(B128:B139)</f>
        <v>-2.2737367544323206E-13</v>
      </c>
      <c r="C140" s="92"/>
      <c r="D140" s="92"/>
      <c r="E140" s="92"/>
    </row>
    <row r="141" spans="2:5" ht="12.75">
      <c r="B141" s="92"/>
      <c r="C141" s="78"/>
      <c r="D141" s="78"/>
      <c r="E141" s="78"/>
    </row>
    <row r="142" spans="1:5" ht="12.75">
      <c r="A142" s="213" t="s">
        <v>38</v>
      </c>
      <c r="B142" s="214"/>
      <c r="C142" s="90"/>
      <c r="D142" s="90"/>
      <c r="E142" s="90"/>
    </row>
    <row r="143" spans="1:2" ht="12.75">
      <c r="A143" s="215" t="s">
        <v>20</v>
      </c>
      <c r="B143" s="209" t="s">
        <v>94</v>
      </c>
    </row>
    <row r="144" spans="1:3" ht="12.75">
      <c r="A144" s="210">
        <f>A128</f>
        <v>43009</v>
      </c>
      <c r="B144" s="216">
        <f>B109-B108</f>
        <v>3</v>
      </c>
      <c r="C144" s="93"/>
    </row>
    <row r="145" spans="1:3" ht="12.75">
      <c r="A145" s="210">
        <f aca="true" t="shared" si="15" ref="A145:A155">A129</f>
        <v>43040</v>
      </c>
      <c r="B145" s="216">
        <f>B110-B109</f>
        <v>-22</v>
      </c>
      <c r="C145" s="93"/>
    </row>
    <row r="146" spans="1:3" ht="12.75">
      <c r="A146" s="210">
        <f t="shared" si="15"/>
        <v>43070</v>
      </c>
      <c r="B146" s="216">
        <f aca="true" t="shared" si="16" ref="B146:B155">B111-B110</f>
        <v>-25</v>
      </c>
      <c r="C146" s="93"/>
    </row>
    <row r="147" spans="1:3" ht="12.75">
      <c r="A147" s="210">
        <f t="shared" si="15"/>
        <v>43101</v>
      </c>
      <c r="B147" s="216">
        <f t="shared" si="16"/>
        <v>16</v>
      </c>
      <c r="C147" s="93"/>
    </row>
    <row r="148" spans="1:3" ht="12.75">
      <c r="A148" s="210">
        <f t="shared" si="15"/>
        <v>43132</v>
      </c>
      <c r="B148" s="216">
        <f t="shared" si="16"/>
        <v>4</v>
      </c>
      <c r="C148" s="93"/>
    </row>
    <row r="149" spans="1:3" ht="12.75">
      <c r="A149" s="210">
        <f t="shared" si="15"/>
        <v>43160</v>
      </c>
      <c r="B149" s="216">
        <f t="shared" si="16"/>
        <v>-10</v>
      </c>
      <c r="C149" s="93"/>
    </row>
    <row r="150" spans="1:3" ht="12.75">
      <c r="A150" s="210">
        <f t="shared" si="15"/>
        <v>43191</v>
      </c>
      <c r="B150" s="216">
        <f t="shared" si="16"/>
        <v>-23</v>
      </c>
      <c r="C150" s="93"/>
    </row>
    <row r="151" spans="1:3" ht="12.75">
      <c r="A151" s="210">
        <f t="shared" si="15"/>
        <v>43221</v>
      </c>
      <c r="B151" s="216">
        <f t="shared" si="16"/>
        <v>7</v>
      </c>
      <c r="C151" s="93"/>
    </row>
    <row r="152" spans="1:3" ht="12.75">
      <c r="A152" s="210">
        <f t="shared" si="15"/>
        <v>43252</v>
      </c>
      <c r="B152" s="216">
        <f t="shared" si="16"/>
        <v>-40</v>
      </c>
      <c r="C152" s="93"/>
    </row>
    <row r="153" spans="1:3" ht="12.75">
      <c r="A153" s="210">
        <f t="shared" si="15"/>
        <v>43282</v>
      </c>
      <c r="B153" s="216">
        <f t="shared" si="16"/>
        <v>60</v>
      </c>
      <c r="C153" s="93"/>
    </row>
    <row r="154" spans="1:3" ht="12.75">
      <c r="A154" s="210">
        <f t="shared" si="15"/>
        <v>43313</v>
      </c>
      <c r="B154" s="216">
        <f t="shared" si="16"/>
        <v>-36</v>
      </c>
      <c r="C154" s="93"/>
    </row>
    <row r="155" spans="1:2" ht="12.75" customHeight="1">
      <c r="A155" s="210">
        <f t="shared" si="15"/>
        <v>43344</v>
      </c>
      <c r="B155" s="216">
        <f t="shared" si="16"/>
        <v>3</v>
      </c>
    </row>
    <row r="157" spans="3:5" ht="12.75">
      <c r="C157" s="79"/>
      <c r="D157" s="94"/>
      <c r="E157" s="94"/>
    </row>
    <row r="158" spans="1:5" ht="12.75">
      <c r="A158" s="82" t="s">
        <v>96</v>
      </c>
      <c r="B158" s="79"/>
      <c r="C158" s="79"/>
      <c r="D158" s="95"/>
      <c r="E158" s="90"/>
    </row>
    <row r="159" spans="1:4" ht="12.75">
      <c r="A159" s="96" t="s">
        <v>54</v>
      </c>
      <c r="B159" s="97" t="s">
        <v>97</v>
      </c>
      <c r="C159" s="97" t="s">
        <v>98</v>
      </c>
      <c r="D159" s="86"/>
    </row>
    <row r="160" spans="1:4" ht="12.75">
      <c r="A160" s="98" t="s">
        <v>46</v>
      </c>
      <c r="B160" s="99">
        <f aca="true" t="shared" si="17" ref="B160:B165">C160/52</f>
        <v>0</v>
      </c>
      <c r="C160" s="99"/>
      <c r="D160" s="86"/>
    </row>
    <row r="161" spans="1:4" ht="12.75">
      <c r="A161" s="100" t="s">
        <v>47</v>
      </c>
      <c r="B161" s="99">
        <f t="shared" si="17"/>
        <v>0</v>
      </c>
      <c r="C161" s="99"/>
      <c r="D161" s="86"/>
    </row>
    <row r="162" spans="1:8" ht="12.75">
      <c r="A162" s="271" t="s">
        <v>48</v>
      </c>
      <c r="B162" s="272">
        <f t="shared" si="17"/>
        <v>15.204008052518342</v>
      </c>
      <c r="C162" s="272">
        <v>790.6084187309538</v>
      </c>
      <c r="D162" s="86"/>
      <c r="G162"/>
      <c r="H162"/>
    </row>
    <row r="163" spans="1:4" ht="12.75">
      <c r="A163" s="271" t="s">
        <v>49</v>
      </c>
      <c r="B163" s="272">
        <f t="shared" si="17"/>
        <v>15.701408315805288</v>
      </c>
      <c r="C163" s="272">
        <v>816.473232421875</v>
      </c>
      <c r="D163" s="86"/>
    </row>
    <row r="164" spans="1:4" ht="12.75">
      <c r="A164" s="271" t="s">
        <v>50</v>
      </c>
      <c r="B164" s="272">
        <f t="shared" si="17"/>
        <v>16.35647967998798</v>
      </c>
      <c r="C164" s="272">
        <v>850.536943359375</v>
      </c>
      <c r="D164" s="86"/>
    </row>
    <row r="165" spans="1:3" ht="12.75" customHeight="1">
      <c r="A165" s="271" t="s">
        <v>52</v>
      </c>
      <c r="B165" s="272">
        <f t="shared" si="17"/>
        <v>16.326743895168047</v>
      </c>
      <c r="C165" s="272">
        <v>848.9906825487385</v>
      </c>
    </row>
    <row r="166" spans="1:3" ht="12.75">
      <c r="A166" s="273" t="s">
        <v>85</v>
      </c>
      <c r="B166" s="272">
        <f>C166/52</f>
        <v>20.760576923076922</v>
      </c>
      <c r="C166" s="272">
        <v>1079.55</v>
      </c>
    </row>
    <row r="167" spans="1:3" ht="12.75">
      <c r="A167" s="273" t="s">
        <v>109</v>
      </c>
      <c r="B167" s="272">
        <f>C167/52</f>
        <v>21.10148384679909</v>
      </c>
      <c r="C167" s="272">
        <v>1097.2771600335527</v>
      </c>
    </row>
    <row r="168" spans="1:4" ht="12.75">
      <c r="A168" s="273" t="s">
        <v>134</v>
      </c>
      <c r="B168" s="272">
        <f>C168/52</f>
        <v>18.820522293356575</v>
      </c>
      <c r="C168" s="221">
        <v>978.6671592545418</v>
      </c>
      <c r="D168" s="83" t="s">
        <v>174</v>
      </c>
    </row>
    <row r="169" spans="1:5" ht="12.75">
      <c r="A169"/>
      <c r="D169" s="101"/>
      <c r="E169" s="101"/>
    </row>
    <row r="170" spans="1:5" ht="12.75">
      <c r="A170" s="102" t="s">
        <v>43</v>
      </c>
      <c r="B170" s="103" t="s">
        <v>94</v>
      </c>
      <c r="C170" s="104"/>
      <c r="D170"/>
      <c r="E170"/>
    </row>
    <row r="171" spans="1:5" ht="12.75">
      <c r="A171" s="105" t="s">
        <v>46</v>
      </c>
      <c r="B171" s="106"/>
      <c r="C171"/>
      <c r="D171"/>
      <c r="E171"/>
    </row>
    <row r="172" spans="1:5" ht="12.75">
      <c r="A172" s="105" t="s">
        <v>47</v>
      </c>
      <c r="B172" s="106"/>
      <c r="C172"/>
      <c r="D172"/>
      <c r="E172"/>
    </row>
    <row r="173" spans="1:5" ht="12.75">
      <c r="A173" s="105" t="s">
        <v>48</v>
      </c>
      <c r="B173" s="106"/>
      <c r="C173"/>
      <c r="D173"/>
      <c r="E173"/>
    </row>
    <row r="174" spans="1:5" ht="12.75">
      <c r="A174" s="105" t="s">
        <v>49</v>
      </c>
      <c r="B174" s="106"/>
      <c r="C174"/>
      <c r="D174"/>
      <c r="E174"/>
    </row>
    <row r="175" spans="1:5" ht="12.75">
      <c r="A175" s="105" t="s">
        <v>50</v>
      </c>
      <c r="B175" s="106"/>
      <c r="C175"/>
      <c r="D175"/>
      <c r="E175"/>
    </row>
    <row r="176" spans="1:5" ht="12.75">
      <c r="A176" s="105" t="s">
        <v>52</v>
      </c>
      <c r="B176" s="107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3" ht="12.75">
      <c r="A180" s="37" t="s">
        <v>62</v>
      </c>
      <c r="B180"/>
      <c r="C180"/>
    </row>
    <row r="181" spans="1:4" ht="12.75">
      <c r="A181" s="103" t="s">
        <v>20</v>
      </c>
      <c r="B181" s="103" t="s">
        <v>94</v>
      </c>
      <c r="D181" s="83" t="s">
        <v>175</v>
      </c>
    </row>
    <row r="182" spans="1:3" ht="12.75">
      <c r="A182" s="108" t="str">
        <f aca="true" t="shared" si="18" ref="A182:A194">A108</f>
        <v>2017-09</v>
      </c>
      <c r="B182" s="223">
        <v>18138</v>
      </c>
      <c r="C182" s="139" t="s">
        <v>115</v>
      </c>
    </row>
    <row r="183" spans="1:2" ht="12.75">
      <c r="A183" s="108" t="str">
        <f t="shared" si="18"/>
        <v>2017-10</v>
      </c>
      <c r="B183" s="222">
        <v>19975</v>
      </c>
    </row>
    <row r="184" spans="1:2" ht="12.75">
      <c r="A184" s="108" t="str">
        <f t="shared" si="18"/>
        <v>2017-11</v>
      </c>
      <c r="B184" s="222">
        <v>11095</v>
      </c>
    </row>
    <row r="185" spans="1:2" ht="12.75">
      <c r="A185" s="108" t="str">
        <f t="shared" si="18"/>
        <v>2017-12</v>
      </c>
      <c r="B185" s="222">
        <v>13965</v>
      </c>
    </row>
    <row r="186" spans="1:2" ht="12.75">
      <c r="A186" s="108" t="str">
        <f t="shared" si="18"/>
        <v>2018-01</v>
      </c>
      <c r="B186" s="222">
        <v>15950</v>
      </c>
    </row>
    <row r="187" spans="1:2" ht="12.75">
      <c r="A187" s="108" t="str">
        <f t="shared" si="18"/>
        <v>2018-02</v>
      </c>
      <c r="B187" s="222">
        <v>17989</v>
      </c>
    </row>
    <row r="188" spans="1:2" ht="12.75">
      <c r="A188" s="108" t="str">
        <f t="shared" si="18"/>
        <v>2018-03</v>
      </c>
      <c r="B188" s="222">
        <v>21651</v>
      </c>
    </row>
    <row r="189" spans="1:2" ht="12.75">
      <c r="A189" s="108" t="str">
        <f t="shared" si="18"/>
        <v>2018-04</v>
      </c>
      <c r="B189" s="222">
        <v>20787</v>
      </c>
    </row>
    <row r="190" spans="1:2" ht="12.75">
      <c r="A190" s="108" t="str">
        <f t="shared" si="18"/>
        <v>2018-05</v>
      </c>
      <c r="B190" s="222">
        <v>17267</v>
      </c>
    </row>
    <row r="191" spans="1:2" ht="12.75">
      <c r="A191" s="108" t="str">
        <f t="shared" si="18"/>
        <v>2018-06</v>
      </c>
      <c r="B191" s="222">
        <v>13384</v>
      </c>
    </row>
    <row r="192" spans="1:2" ht="12.75">
      <c r="A192" s="108" t="str">
        <f t="shared" si="18"/>
        <v>2018-07</v>
      </c>
      <c r="B192" s="222">
        <v>21978</v>
      </c>
    </row>
    <row r="193" spans="1:2" ht="12.75">
      <c r="A193" s="108" t="str">
        <f t="shared" si="18"/>
        <v>2018-08</v>
      </c>
      <c r="B193" s="222">
        <v>23446</v>
      </c>
    </row>
    <row r="194" spans="1:2" ht="12.75">
      <c r="A194" s="108" t="str">
        <f t="shared" si="18"/>
        <v>2018-09</v>
      </c>
      <c r="B194" s="222">
        <v>12323</v>
      </c>
    </row>
    <row r="195" spans="1:2" ht="12.75">
      <c r="A195" s="103" t="s">
        <v>61</v>
      </c>
      <c r="B195" s="223">
        <f>SUM(B183:B194)</f>
        <v>209810</v>
      </c>
    </row>
    <row r="196" spans="1:2" ht="12.75">
      <c r="A196" s="39" t="s">
        <v>36</v>
      </c>
      <c r="B196" s="219">
        <f>AVERAGE(B183:B194)</f>
        <v>17484.166666666668</v>
      </c>
    </row>
    <row r="197" spans="1:5" ht="12.75">
      <c r="A197" s="206" t="s">
        <v>143</v>
      </c>
      <c r="B197" s="206">
        <v>209810</v>
      </c>
      <c r="D197" s="39"/>
      <c r="E197" s="39"/>
    </row>
    <row r="198" spans="1:5" ht="12.75">
      <c r="A198" s="206" t="s">
        <v>144</v>
      </c>
      <c r="B198" s="166">
        <v>198199</v>
      </c>
      <c r="C198" s="39"/>
      <c r="D198" s="78"/>
      <c r="E198" s="78"/>
    </row>
    <row r="199" spans="1:5" ht="12.75">
      <c r="A199" s="39"/>
      <c r="B199" s="39"/>
      <c r="C199" s="78"/>
      <c r="D199" s="90"/>
      <c r="E199" s="90"/>
    </row>
    <row r="200" spans="1:3" ht="12.75">
      <c r="A200" s="83" t="s">
        <v>63</v>
      </c>
      <c r="B200" s="207"/>
      <c r="C200" s="89"/>
    </row>
    <row r="201" spans="1:3" ht="12.75">
      <c r="A201" s="208" t="s">
        <v>20</v>
      </c>
      <c r="B201" s="223" t="s">
        <v>94</v>
      </c>
      <c r="C201" s="39"/>
    </row>
    <row r="202" spans="1:3" ht="12.75">
      <c r="A202" s="210">
        <f aca="true" t="shared" si="19" ref="A202:A213">A144</f>
        <v>43009</v>
      </c>
      <c r="B202" s="212">
        <f>B183-B$196</f>
        <v>2490.833333333332</v>
      </c>
      <c r="C202" s="39"/>
    </row>
    <row r="203" spans="1:3" ht="12.75">
      <c r="A203" s="210">
        <f t="shared" si="19"/>
        <v>43040</v>
      </c>
      <c r="B203" s="212">
        <f aca="true" t="shared" si="20" ref="B203:B213">B184-B$196</f>
        <v>-6389.166666666668</v>
      </c>
      <c r="C203" s="39"/>
    </row>
    <row r="204" spans="1:3" ht="12.75">
      <c r="A204" s="210">
        <f t="shared" si="19"/>
        <v>43070</v>
      </c>
      <c r="B204" s="212">
        <f t="shared" si="20"/>
        <v>-3519.166666666668</v>
      </c>
      <c r="C204" s="39"/>
    </row>
    <row r="205" spans="1:3" ht="12.75">
      <c r="A205" s="210">
        <f t="shared" si="19"/>
        <v>43101</v>
      </c>
      <c r="B205" s="212">
        <f t="shared" si="20"/>
        <v>-1534.1666666666679</v>
      </c>
      <c r="C205" s="39"/>
    </row>
    <row r="206" spans="1:3" ht="12.75">
      <c r="A206" s="210">
        <f t="shared" si="19"/>
        <v>43132</v>
      </c>
      <c r="B206" s="212">
        <f t="shared" si="20"/>
        <v>504.8333333333321</v>
      </c>
      <c r="C206" s="39"/>
    </row>
    <row r="207" spans="1:3" ht="12.75">
      <c r="A207" s="210">
        <f t="shared" si="19"/>
        <v>43160</v>
      </c>
      <c r="B207" s="212">
        <f t="shared" si="20"/>
        <v>4166.833333333332</v>
      </c>
      <c r="C207" s="39"/>
    </row>
    <row r="208" spans="1:3" ht="12.75">
      <c r="A208" s="210">
        <f t="shared" si="19"/>
        <v>43191</v>
      </c>
      <c r="B208" s="212">
        <f t="shared" si="20"/>
        <v>3302.833333333332</v>
      </c>
      <c r="C208" s="39"/>
    </row>
    <row r="209" spans="1:3" ht="12.75">
      <c r="A209" s="210">
        <f t="shared" si="19"/>
        <v>43221</v>
      </c>
      <c r="B209" s="212">
        <f t="shared" si="20"/>
        <v>-217.16666666666788</v>
      </c>
      <c r="C209" s="39"/>
    </row>
    <row r="210" spans="1:3" ht="12.75">
      <c r="A210" s="210">
        <f t="shared" si="19"/>
        <v>43252</v>
      </c>
      <c r="B210" s="212">
        <f t="shared" si="20"/>
        <v>-4100.166666666668</v>
      </c>
      <c r="C210" s="39"/>
    </row>
    <row r="211" spans="1:3" ht="12.75">
      <c r="A211" s="210">
        <f t="shared" si="19"/>
        <v>43282</v>
      </c>
      <c r="B211" s="212">
        <f t="shared" si="20"/>
        <v>4493.833333333332</v>
      </c>
      <c r="C211" s="39"/>
    </row>
    <row r="212" spans="1:3" ht="12.75">
      <c r="A212" s="210">
        <f t="shared" si="19"/>
        <v>43313</v>
      </c>
      <c r="B212" s="212">
        <f t="shared" si="20"/>
        <v>5961.833333333332</v>
      </c>
      <c r="C212" s="39"/>
    </row>
    <row r="213" spans="1:5" ht="12.75">
      <c r="A213" s="210">
        <f t="shared" si="19"/>
        <v>43344</v>
      </c>
      <c r="B213" s="212">
        <f t="shared" si="20"/>
        <v>-5161.166666666668</v>
      </c>
      <c r="C213" s="39"/>
      <c r="D213" s="39"/>
      <c r="E213" s="39"/>
    </row>
    <row r="214" spans="1:5" ht="12.75">
      <c r="A214" s="208" t="s">
        <v>15</v>
      </c>
      <c r="B214" s="212">
        <f>SUM(B202:B213)</f>
        <v>-1.4551915228366852E-11</v>
      </c>
      <c r="C214" s="39"/>
      <c r="D214" s="109"/>
      <c r="E214" s="109"/>
    </row>
    <row r="215" spans="2:5" ht="12.75">
      <c r="B215" s="39"/>
      <c r="C215" s="109"/>
      <c r="D215" s="90"/>
      <c r="E215" s="90"/>
    </row>
    <row r="216" spans="1:3" ht="12.75">
      <c r="A216" s="83" t="s">
        <v>64</v>
      </c>
      <c r="B216" s="224"/>
      <c r="C216" s="110"/>
    </row>
    <row r="217" spans="1:3" ht="12.75">
      <c r="A217" s="215" t="s">
        <v>20</v>
      </c>
      <c r="B217" s="189" t="s">
        <v>94</v>
      </c>
      <c r="C217" s="39"/>
    </row>
    <row r="218" spans="1:3" ht="12.75">
      <c r="A218" s="210">
        <f>A202</f>
        <v>43009</v>
      </c>
      <c r="B218" s="212">
        <f>B183-B182</f>
        <v>1837</v>
      </c>
      <c r="C218" s="39"/>
    </row>
    <row r="219" spans="1:3" ht="12.75">
      <c r="A219" s="210">
        <f aca="true" t="shared" si="21" ref="A219:A229">A203</f>
        <v>43040</v>
      </c>
      <c r="B219" s="212">
        <f>B184-B183</f>
        <v>-8880</v>
      </c>
      <c r="C219" s="39"/>
    </row>
    <row r="220" spans="1:3" ht="12.75">
      <c r="A220" s="210">
        <f t="shared" si="21"/>
        <v>43070</v>
      </c>
      <c r="B220" s="212">
        <f aca="true" t="shared" si="22" ref="B220:B229">B185-B184</f>
        <v>2870</v>
      </c>
      <c r="C220" s="39"/>
    </row>
    <row r="221" spans="1:3" ht="12.75">
      <c r="A221" s="210">
        <f t="shared" si="21"/>
        <v>43101</v>
      </c>
      <c r="B221" s="212">
        <f t="shared" si="22"/>
        <v>1985</v>
      </c>
      <c r="C221" s="39"/>
    </row>
    <row r="222" spans="1:3" ht="12.75">
      <c r="A222" s="210">
        <f t="shared" si="21"/>
        <v>43132</v>
      </c>
      <c r="B222" s="212">
        <f t="shared" si="22"/>
        <v>2039</v>
      </c>
      <c r="C222" s="39"/>
    </row>
    <row r="223" spans="1:3" ht="12.75">
      <c r="A223" s="210">
        <f t="shared" si="21"/>
        <v>43160</v>
      </c>
      <c r="B223" s="212">
        <f t="shared" si="22"/>
        <v>3662</v>
      </c>
      <c r="C223" s="39"/>
    </row>
    <row r="224" spans="1:3" ht="12.75">
      <c r="A224" s="210">
        <f t="shared" si="21"/>
        <v>43191</v>
      </c>
      <c r="B224" s="212">
        <f t="shared" si="22"/>
        <v>-864</v>
      </c>
      <c r="C224" s="39"/>
    </row>
    <row r="225" spans="1:3" ht="12.75">
      <c r="A225" s="210">
        <f t="shared" si="21"/>
        <v>43221</v>
      </c>
      <c r="B225" s="212">
        <f t="shared" si="22"/>
        <v>-3520</v>
      </c>
      <c r="C225" s="39"/>
    </row>
    <row r="226" spans="1:3" ht="12.75">
      <c r="A226" s="210">
        <f t="shared" si="21"/>
        <v>43252</v>
      </c>
      <c r="B226" s="212">
        <f t="shared" si="22"/>
        <v>-3883</v>
      </c>
      <c r="C226" s="39"/>
    </row>
    <row r="227" spans="1:3" ht="12.75">
      <c r="A227" s="210">
        <f t="shared" si="21"/>
        <v>43282</v>
      </c>
      <c r="B227" s="212">
        <f t="shared" si="22"/>
        <v>8594</v>
      </c>
      <c r="C227" s="39"/>
    </row>
    <row r="228" spans="1:5" ht="12.75">
      <c r="A228" s="210">
        <f t="shared" si="21"/>
        <v>43313</v>
      </c>
      <c r="B228" s="212">
        <f t="shared" si="22"/>
        <v>1468</v>
      </c>
      <c r="C228" s="39"/>
      <c r="D228" s="39"/>
      <c r="E228" s="39"/>
    </row>
    <row r="229" spans="1:3" ht="12.75">
      <c r="A229" s="210">
        <f t="shared" si="21"/>
        <v>43344</v>
      </c>
      <c r="B229" s="212">
        <f t="shared" si="22"/>
        <v>-11123</v>
      </c>
      <c r="C229" s="39"/>
    </row>
    <row r="230" spans="1:2" ht="12.75">
      <c r="A230" s="87"/>
      <c r="B230" s="39"/>
    </row>
    <row r="231" spans="1:4" ht="12.75">
      <c r="A231" s="87"/>
      <c r="D231" s="81"/>
    </row>
    <row r="232" spans="1:6" ht="12.75">
      <c r="A232" s="37" t="s">
        <v>68</v>
      </c>
      <c r="C232" s="80"/>
      <c r="D232" s="81"/>
      <c r="F232" s="83" t="s">
        <v>175</v>
      </c>
    </row>
    <row r="233" spans="1:4" ht="12.75">
      <c r="A233" s="103"/>
      <c r="B233" s="358" t="s">
        <v>94</v>
      </c>
      <c r="C233" s="359"/>
      <c r="D233" s="360"/>
    </row>
    <row r="234" spans="1:4" ht="12.75">
      <c r="A234" s="103" t="s">
        <v>67</v>
      </c>
      <c r="B234" s="103" t="s">
        <v>59</v>
      </c>
      <c r="C234" s="103" t="s">
        <v>60</v>
      </c>
      <c r="D234" s="103" t="s">
        <v>58</v>
      </c>
    </row>
    <row r="235" spans="1:4" ht="12.75">
      <c r="A235" s="103" t="s">
        <v>46</v>
      </c>
      <c r="B235" s="111"/>
      <c r="C235" s="111"/>
      <c r="D235" s="111"/>
    </row>
    <row r="236" spans="1:4" ht="12.75">
      <c r="A236" s="103" t="s">
        <v>47</v>
      </c>
      <c r="B236" s="111"/>
      <c r="C236" s="111"/>
      <c r="D236" s="111"/>
    </row>
    <row r="237" spans="1:4" ht="12.75">
      <c r="A237" s="223" t="s">
        <v>48</v>
      </c>
      <c r="B237" s="196">
        <v>592471</v>
      </c>
      <c r="C237" s="196">
        <v>6582527</v>
      </c>
      <c r="D237" s="196">
        <v>325462</v>
      </c>
    </row>
    <row r="238" spans="1:4" ht="12.75">
      <c r="A238" s="223" t="s">
        <v>49</v>
      </c>
      <c r="B238" s="196">
        <v>555306</v>
      </c>
      <c r="C238" s="196">
        <v>5791919</v>
      </c>
      <c r="D238" s="196">
        <v>298036</v>
      </c>
    </row>
    <row r="239" spans="1:4" ht="12.75">
      <c r="A239" s="223" t="s">
        <v>50</v>
      </c>
      <c r="B239" s="196">
        <v>399036</v>
      </c>
      <c r="C239" s="196">
        <v>4085298</v>
      </c>
      <c r="D239" s="196">
        <v>224482</v>
      </c>
    </row>
    <row r="240" spans="1:4" ht="12.75">
      <c r="A240" s="223" t="s">
        <v>52</v>
      </c>
      <c r="B240" s="196">
        <v>349520</v>
      </c>
      <c r="C240" s="196">
        <v>3443353</v>
      </c>
      <c r="D240" s="196">
        <v>198199</v>
      </c>
    </row>
    <row r="241" spans="1:4" ht="12.75">
      <c r="A241" s="261" t="s">
        <v>85</v>
      </c>
      <c r="B241" s="262">
        <v>318452</v>
      </c>
      <c r="C241" s="262">
        <v>3076663</v>
      </c>
      <c r="D241" s="262">
        <v>185720</v>
      </c>
    </row>
    <row r="242" spans="1:4" ht="12.75">
      <c r="A242" s="261" t="s">
        <v>109</v>
      </c>
      <c r="B242" s="262">
        <v>302452</v>
      </c>
      <c r="C242" s="262">
        <v>2925899</v>
      </c>
      <c r="D242" s="262">
        <v>198199</v>
      </c>
    </row>
    <row r="243" spans="1:4" ht="12.75">
      <c r="A243" s="263" t="s">
        <v>134</v>
      </c>
      <c r="B243" s="168">
        <v>294901</v>
      </c>
      <c r="C243" s="168">
        <v>3706912</v>
      </c>
      <c r="D243" s="168">
        <v>197163</v>
      </c>
    </row>
  </sheetData>
  <sheetProtection/>
  <mergeCells count="1">
    <mergeCell ref="B233:D233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3"/>
  <sheetViews>
    <sheetView zoomScale="192" zoomScaleNormal="192" zoomScalePageLayoutView="0" workbookViewId="0" topLeftCell="A1">
      <selection activeCell="S67" sqref="S67"/>
    </sheetView>
  </sheetViews>
  <sheetFormatPr defaultColWidth="8.7109375" defaultRowHeight="12.75"/>
  <cols>
    <col min="1" max="1" width="120.7109375" style="0" customWidth="1"/>
  </cols>
  <sheetData>
    <row r="3" ht="228.75" customHeight="1">
      <c r="A3" s="67" t="s">
        <v>147</v>
      </c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7" sqref="D7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CONCATENATE(data!$B$2," Summary for ",Summary_data!T1)</f>
        <v>ASDC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CONCATENATE(data!$B$2," Distribution and User Trends ",Summary_data!S1)</f>
        <v>ASDC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Summary_data!C4</f>
        <v>ASDC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Summary_data!D4</f>
        <v>789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Summary_data!G4</f>
        <v>52997</v>
      </c>
      <c r="F5" s="308" t="s">
        <v>75</v>
      </c>
      <c r="G5" s="309">
        <f>data!$B$15</f>
        <v>26.575335000000003</v>
      </c>
      <c r="H5" s="294"/>
      <c r="I5" s="289">
        <f>(data!$B$15-data!$B17)/data!$B17</f>
        <v>-0.14376612244708584</v>
      </c>
      <c r="J5" s="296">
        <f>data!$B$16</f>
        <v>2.2146112500000004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Summary_data!H$4</f>
        <v>67042</v>
      </c>
      <c r="F6" s="307"/>
      <c r="G6" s="310"/>
      <c r="H6" s="295"/>
      <c r="I6" s="290"/>
      <c r="J6" s="297"/>
      <c r="K6" s="312"/>
    </row>
    <row r="7" spans="2:11" ht="18" customHeight="1" thickBot="1">
      <c r="B7" s="35" t="s">
        <v>3</v>
      </c>
      <c r="C7" s="73" t="str">
        <f>Summary_data!T16</f>
        <v>23,224.6 GB/day</v>
      </c>
      <c r="D7" s="73" t="str">
        <f>CONCATENATE(FIXED(1024*Summary_data!$K$4,1)," GB/day")</f>
        <v>1,821.2 GB/day</v>
      </c>
      <c r="F7" s="306" t="s">
        <v>69</v>
      </c>
      <c r="G7" s="304">
        <f>data!$B$67</f>
        <v>2313.0587907771337</v>
      </c>
      <c r="H7" s="295"/>
      <c r="I7" s="289">
        <f>(data!$B$67-data!$B$69)/data!$B$69</f>
        <v>-0.02744417243004017</v>
      </c>
      <c r="J7" s="297">
        <f>data!$B$68</f>
        <v>192.7548992314278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CONCATENATE(FIXED(Summary_data!$L$4,1)," TB")</f>
        <v>5,009.0 TB</v>
      </c>
      <c r="F8" s="307"/>
      <c r="G8" s="305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1" t="str">
        <f>CONCATENATE(FIXED(Summary_data!$O$4,1)," M")</f>
        <v>26.6 M</v>
      </c>
      <c r="F9" s="306" t="s">
        <v>65</v>
      </c>
      <c r="G9" s="315">
        <f>data!$B$120</f>
        <v>4210</v>
      </c>
      <c r="H9" s="295"/>
      <c r="I9" s="289">
        <f>(data!$B$120-data!$B$121)/data!$B$121</f>
        <v>-0.1038739889314602</v>
      </c>
      <c r="J9" s="318">
        <f>data!$B$119</f>
        <v>611</v>
      </c>
      <c r="K9" s="312"/>
    </row>
    <row r="10" spans="2:11" ht="18" customHeight="1" thickBot="1">
      <c r="B10" s="36" t="s">
        <v>6</v>
      </c>
      <c r="C10" s="72" t="str">
        <f>Summary_data!T19</f>
        <v>68,386.2 GB/day</v>
      </c>
      <c r="D10" s="72" t="str">
        <f>CONCATENATE(FIXED(1024*Summary_data!$Q$4,1)," GB/day")</f>
        <v>6,489.2 GB/day</v>
      </c>
      <c r="F10" s="307"/>
      <c r="G10" s="32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data!$B$199</f>
        <v>49138</v>
      </c>
      <c r="H11" s="295"/>
      <c r="I11" s="289">
        <f>(data!$B$199-data!$B$200)/data!$B$200</f>
        <v>0.1992483038024113</v>
      </c>
      <c r="J11" s="318">
        <f>data!$B$198</f>
        <v>4294.916666666667</v>
      </c>
      <c r="K11" s="312"/>
    </row>
    <row r="12" spans="6:11" ht="18" customHeight="1" thickBot="1">
      <c r="F12" s="314"/>
      <c r="G12" s="316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</mergeCells>
  <conditionalFormatting sqref="K5 K7">
    <cfRule type="dataBar" priority="1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{b34d7aa3-b6a3-4744-9db1-998ac13f43a1}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{c7098ef2-1d23-4a45-a354-7aeb6b653baf}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{36bf2587-4d82-4da9-a181-6fa69ba10f4d}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4d7aa3-b6a3-4744-9db1-998ac13f43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K5 K7</xm:sqref>
        </x14:conditionalFormatting>
        <x14:conditionalFormatting xmlns:xm="http://schemas.microsoft.com/office/excel/2006/main">
          <x14:cfRule type="dataBar" id="{c7098ef2-1d23-4a45-a354-7aeb6b653b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6bf2587-4d82-4da9-a181-6fa69ba10f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D10" sqref="D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CONCATENATE("ASF Summary for ",Summary_data!T1)</f>
        <v>ASF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CONCATENATE(data!$C$2," Distribution and User Trends ",Summary_data!S1)</f>
        <v>ASF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Summary_data!C5</f>
        <v>ASF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Summary_data!D5</f>
        <v>115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Summary_data!G5</f>
        <v>152415</v>
      </c>
      <c r="F5" s="308" t="s">
        <v>75</v>
      </c>
      <c r="G5" s="309">
        <f>data!$C$15</f>
        <v>11.235903000000002</v>
      </c>
      <c r="H5" s="294"/>
      <c r="I5" s="289">
        <f>(data!$C$15-data!$C$17)/data!$C$17</f>
        <v>0.6850673935294713</v>
      </c>
      <c r="J5" s="324">
        <f>data!$C$16</f>
        <v>0.9363252500000002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Summary_data!H$5</f>
        <v>161646</v>
      </c>
      <c r="F6" s="307"/>
      <c r="G6" s="310"/>
      <c r="H6" s="295"/>
      <c r="I6" s="290"/>
      <c r="J6" s="325"/>
      <c r="K6" s="312"/>
    </row>
    <row r="7" spans="2:11" ht="18" customHeight="1" thickBot="1">
      <c r="B7" s="35" t="s">
        <v>3</v>
      </c>
      <c r="C7" s="71" t="str">
        <f>Summary_data!T16</f>
        <v>23,224.6 GB/day</v>
      </c>
      <c r="D7" s="71" t="str">
        <f>CONCATENATE(FIXED(1024*Summary_data!$K$5,1)," GB/day")</f>
        <v>8,007.1 GB/day</v>
      </c>
      <c r="F7" s="306" t="s">
        <v>69</v>
      </c>
      <c r="G7" s="304">
        <f>data!$C$67</f>
        <v>4765.161105083115</v>
      </c>
      <c r="H7" s="295"/>
      <c r="I7" s="289">
        <f>(data!$C$67-data!$C$69)/data!$C$69</f>
        <v>2.3591904845968146</v>
      </c>
      <c r="J7" s="325">
        <f>data!$C$68</f>
        <v>397.09675875692625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1" t="str">
        <f>CONCATENATE(FIXED(Summary_data!$L$5,1)," TB")</f>
        <v>6,550.8 TB</v>
      </c>
      <c r="F8" s="307"/>
      <c r="G8" s="305"/>
      <c r="H8" s="295"/>
      <c r="I8" s="290"/>
      <c r="J8" s="325"/>
      <c r="K8" s="312"/>
    </row>
    <row r="9" spans="2:11" ht="18" customHeight="1" thickBot="1">
      <c r="B9" s="35" t="s">
        <v>5</v>
      </c>
      <c r="C9" s="68" t="str">
        <f>Summary_data!T8</f>
        <v>1,611.4 M</v>
      </c>
      <c r="D9" s="72" t="str">
        <f>CONCATENATE(FIXED(Summary_data!$O$5,1)," M")</f>
        <v>11.2 M</v>
      </c>
      <c r="F9" s="306" t="s">
        <v>65</v>
      </c>
      <c r="G9" s="315">
        <f>data!$C$120</f>
        <v>90043</v>
      </c>
      <c r="H9" s="295"/>
      <c r="I9" s="289">
        <f>(data!$C$120-data!$C$121)/data!$C$121</f>
        <v>0.6797813596000298</v>
      </c>
      <c r="J9" s="322">
        <f>data!$C$119</f>
        <v>11027.333333333334</v>
      </c>
      <c r="K9" s="312"/>
    </row>
    <row r="10" spans="2:11" ht="18" customHeight="1" thickBot="1">
      <c r="B10" s="36" t="s">
        <v>6</v>
      </c>
      <c r="C10" s="71" t="str">
        <f>Summary_data!T19</f>
        <v>68,386.2 GB/day</v>
      </c>
      <c r="D10" s="71" t="str">
        <f>CONCATENATE(FIXED(1024*Summary_data!$Q$5,1)," GB/day")</f>
        <v>13,368.6 GB/day</v>
      </c>
      <c r="F10" s="307"/>
      <c r="G10" s="320"/>
      <c r="H10" s="295"/>
      <c r="I10" s="290"/>
      <c r="J10" s="322"/>
      <c r="K10" s="312"/>
    </row>
    <row r="11" spans="5:11" ht="18" customHeight="1">
      <c r="E11" s="5"/>
      <c r="F11" s="306" t="s">
        <v>74</v>
      </c>
      <c r="G11" s="315">
        <f>data!$C$199</f>
        <v>106949</v>
      </c>
      <c r="H11" s="295"/>
      <c r="I11" s="289">
        <f>(data!$C$199-data!$C$200)/data!$C$200</f>
        <v>0.5128012900305533</v>
      </c>
      <c r="J11" s="322">
        <f>data!$C$198</f>
        <v>9466.25</v>
      </c>
      <c r="K11" s="312"/>
    </row>
    <row r="12" spans="6:11" ht="18" customHeight="1" thickBot="1">
      <c r="F12" s="314"/>
      <c r="G12" s="316"/>
      <c r="H12" s="317"/>
      <c r="I12" s="290"/>
      <c r="J12" s="323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{a8f74427-6803-46bb-ace6-eb05138ca6bd}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{8d428f35-1fd8-4ba6-b2d9-1ed4e0ddef89}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{920f304c-7289-4a25-807a-f31e91c51aac}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f74427-6803-46bb-ace6-eb05138ca6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8d428f35-1fd8-4ba6-b2d9-1ed4e0ddef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920f304c-7289-4a25-807a-f31e91c51a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CONCATENATE("CDDIS Summary for ",Summary_data!T1)</f>
        <v>CDDIS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CONCATENATE(data!$D$2," Distribution and User Trends ",Summary_data!S1)</f>
        <v>CDDIS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Summary_data!C6</f>
        <v>CDDIS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Summary_data!D$6</f>
        <v>246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Summary_data!G$6</f>
        <v>415886</v>
      </c>
      <c r="F5" s="308" t="s">
        <v>75</v>
      </c>
      <c r="G5" s="328">
        <f>data!$D$15</f>
        <v>348.31492199999997</v>
      </c>
      <c r="H5" s="294"/>
      <c r="I5" s="289">
        <f>(data!$D$15-data!$D$17)/data!$D$17</f>
        <v>-0.09301236508915586</v>
      </c>
      <c r="J5" s="296">
        <f>data!$D$16</f>
        <v>29.026243499999996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Summary_data!H$6</f>
        <v>25193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CONCATENATE(FIXED(1024*Summary_data!$K$6,2)," GB/day")</f>
        <v>12.13 GB/day</v>
      </c>
      <c r="F7" s="306" t="s">
        <v>69</v>
      </c>
      <c r="G7" s="326">
        <f>data!$D$67</f>
        <v>204.1554972513335</v>
      </c>
      <c r="H7" s="295"/>
      <c r="I7" s="289">
        <f>(data!$D$67-data!$D$69)/data!$D$69</f>
        <v>0.3469602431319925</v>
      </c>
      <c r="J7" s="297">
        <f>data!$D$68</f>
        <v>17.01295810427779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CONCATENATE(FIXED(Summary_data!$L$6,1)," TB")</f>
        <v>16.4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74" t="str">
        <f>Summary_data!T18</f>
        <v>1,611.4 M</v>
      </c>
      <c r="D9" s="71" t="str">
        <f>CONCATENATE(FIXED(Summary_data!$O$6,1)," M")</f>
        <v>348.3 M</v>
      </c>
      <c r="F9" s="306" t="s">
        <v>65</v>
      </c>
      <c r="G9" s="315">
        <f>data!$D$120</f>
        <v>404859</v>
      </c>
      <c r="H9" s="295"/>
      <c r="I9" s="289">
        <f>(data!$D$120-data!$D$121)/data!$D$121</f>
        <v>0.5426079534846505</v>
      </c>
      <c r="J9" s="318">
        <f>data!$D$119</f>
        <v>43392.833333333336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CONCATENATE(FIXED(1024*Summary_data!$Q$6,1)," GB/day")</f>
        <v>572.8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data!$D$199</f>
        <v>19688</v>
      </c>
      <c r="H11" s="295"/>
      <c r="I11" s="289">
        <f>(data!$D$199-data!$D$200)/data!$D$200</f>
        <v>0.704736340808728</v>
      </c>
      <c r="J11" s="318">
        <f>data!$D$198</f>
        <v>1747.75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{b04b010d-a778-4056-9740-327834ee2d54}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{6f5f0419-497f-42f2-8230-68b89b9a46ca}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{29fc781b-0adf-4469-8818-16dc17a951a3}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4b010d-a778-4056-9740-327834ee2d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6f5f0419-497f-42f2-8230-68b89b9a46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29fc781b-0adf-4469-8818-16dc17a951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2" sqref="B2:D2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281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CONCATENATE("GESDISC Summary for ",Summary_data!T1)</f>
        <v>GESDISC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CONCATENATE(data!$E$2," Distribution and User Trends ",Summary_data!S1)</f>
        <v>GESDISC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Summary_data!$C$7</f>
        <v>GESDISC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Summary_data!$D$7</f>
        <v>1919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Summary_data!G$7</f>
        <v>133824</v>
      </c>
      <c r="F5" s="308" t="s">
        <v>75</v>
      </c>
      <c r="G5" s="328">
        <f>data!$E$15</f>
        <v>297.731084</v>
      </c>
      <c r="H5" s="294"/>
      <c r="I5" s="289">
        <f>(data!$E$15-data!$E$17)/data!$E$17</f>
        <v>0.1562223883396167</v>
      </c>
      <c r="J5" s="296">
        <f>data!$E$16</f>
        <v>24.810923666666667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Summary_data!H$7</f>
        <v>150117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CONCATENATE(FIXED(1024*Summary_data!$K$7,1)," GB/day")</f>
        <v>1,712.2 GB/day</v>
      </c>
      <c r="F7" s="306" t="s">
        <v>69</v>
      </c>
      <c r="G7" s="326">
        <f>data!$E$67</f>
        <v>5034.058862325268</v>
      </c>
      <c r="H7" s="295"/>
      <c r="I7" s="289">
        <f>(data!$E$67-data!$E$69)/data!$E$69</f>
        <v>-0.1054214950432447</v>
      </c>
      <c r="J7" s="297">
        <f>data!$E$68</f>
        <v>419.50490519377234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CONCATENATE(FIXED(Summary_data!$L$7,1)," TB")</f>
        <v>2,098.7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CONCATENATE(FIXED(Summary_data!$O$7,1)," M")</f>
        <v>297.7 M</v>
      </c>
      <c r="F9" s="306" t="s">
        <v>65</v>
      </c>
      <c r="G9" s="315">
        <f>data!$E$120</f>
        <v>77498</v>
      </c>
      <c r="H9" s="295"/>
      <c r="I9" s="289">
        <f>(data!$E$120-data!$E$121)/data!$E$121</f>
        <v>-0.2877807594750579</v>
      </c>
      <c r="J9" s="318">
        <f>data!$E$119</f>
        <v>9993.416666666666</v>
      </c>
      <c r="K9" s="312"/>
    </row>
    <row r="10" spans="2:11" ht="21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CONCATENATE(FIXED(1024*Summary_data!$Q$7,1)," GB/day")</f>
        <v>14,122.9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data!$E$199</f>
        <v>93299</v>
      </c>
      <c r="H11" s="295"/>
      <c r="I11" s="290">
        <f>(data!$E$199-data!$E$200)/data!$E$200</f>
        <v>-0.21451603397907038</v>
      </c>
      <c r="J11" s="318">
        <f>data!$E$198</f>
        <v>8398.25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44" dxfId="0">
      <iconSet iconSet="3Arrows">
        <cfvo type="percent" val="0"/>
        <cfvo type="num" val="0"/>
        <cfvo type="num" val="0.01"/>
      </iconSet>
    </cfRule>
    <cfRule type="iconSet" priority="47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4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" dxfId="0">
      <iconSet iconSet="3TrafficLights1">
        <cfvo type="percent" val="0"/>
        <cfvo type="percent" val="33"/>
        <cfvo type="percent" val="67"/>
      </iconSet>
    </cfRule>
    <cfRule type="iconSet" priority="49" dxfId="0">
      <iconSet iconSet="4Arrows">
        <cfvo type="percent" val="0"/>
        <cfvo type="percent" val="25"/>
        <cfvo type="percent" val="50"/>
        <cfvo type="percentile" val="75"/>
      </iconSet>
    </cfRule>
    <cfRule type="iconSet" priority="5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1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5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{87a4245e-5551-43b2-8ed6-98df4418d2ca}</x14:id>
        </ext>
      </extLst>
    </cfRule>
  </conditionalFormatting>
  <conditionalFormatting sqref="K9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{23fc133b-e3c0-4ccf-8738-7a24460bb1a2}</x14:id>
        </ext>
      </extLst>
    </cfRule>
  </conditionalFormatting>
  <conditionalFormatting sqref="K1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{af391acf-7dc7-488a-9c83-ece9155f20c1}</x14:id>
        </ext>
      </extLst>
    </cfRule>
  </conditionalFormatting>
  <conditionalFormatting sqref="I11">
    <cfRule type="iconSet" priority="17" dxfId="0">
      <iconSet iconSet="3Arrows">
        <cfvo type="percent" val="0"/>
        <cfvo type="num" val="0"/>
        <cfvo type="num" val="0.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a4245e-5551-43b2-8ed6-98df4418d2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23fc133b-e3c0-4ccf-8738-7a24460bb1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af391acf-7dc7-488a-9c83-ece9155f20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34" sqref="C34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18.71093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CONCATENATE("GHRC Summary for ",Summary_data!T1)</f>
        <v>GHRC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CONCATENATE(data!$F$2," Distribution and User Trends ",Summary_data!S1)</f>
        <v>GHRC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Summary_data!$C$8</f>
        <v>GHRC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Summary_data!$D$8</f>
        <v>459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Summary_data!G$8</f>
        <v>26767</v>
      </c>
      <c r="F5" s="308" t="s">
        <v>75</v>
      </c>
      <c r="G5" s="328">
        <f>data!$F$15</f>
        <v>7.114440999999999</v>
      </c>
      <c r="H5" s="294"/>
      <c r="I5" s="289">
        <f>(data!$F$15-data!$F$17)/data!$F$17</f>
        <v>0.03555379917265603</v>
      </c>
      <c r="J5" s="296">
        <f>data!$F$16</f>
        <v>0.5928700833333332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Summary_data!H$8</f>
        <v>24485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CONCATENATE(FIXED(1024*Summary_data!$K$8,1)," GB/day")</f>
        <v>17.1 GB/day</v>
      </c>
      <c r="F7" s="306" t="s">
        <v>69</v>
      </c>
      <c r="G7" s="326">
        <f>data!$F$67</f>
        <v>12.59196266317027</v>
      </c>
      <c r="H7" s="295"/>
      <c r="I7" s="290">
        <f>(data!$F$67-data!$F$69)/data!$F$69</f>
        <v>-0.38847559233452245</v>
      </c>
      <c r="J7" s="297">
        <f>data!$F$68</f>
        <v>1.0493302219308558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CONCATENATE(FIXED(Summary_data!$L$8,3)," TB")</f>
        <v>27.600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CONCATENATE(FIXED(Summary_data!$O$8,1)," M")</f>
        <v>7.1 M</v>
      </c>
      <c r="F9" s="306" t="s">
        <v>65</v>
      </c>
      <c r="G9" s="315">
        <f>data!$F$120</f>
        <v>14460</v>
      </c>
      <c r="H9" s="295"/>
      <c r="I9" s="290">
        <f>(data!$F$120-data!$F$121)/data!$F$121</f>
        <v>1.1127995324371713</v>
      </c>
      <c r="J9" s="318">
        <f>data!$F$119</f>
        <v>1686.75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CONCATENATE(FIXED(1024*Summary_data!$Q$8,1)," GB/day")</f>
        <v>35.3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data!$F$199</f>
        <v>16568</v>
      </c>
      <c r="H11" s="295"/>
      <c r="I11" s="290">
        <f>(data!$F$199-data!$F$200)/data!$F$200</f>
        <v>0.04708335966630854</v>
      </c>
      <c r="J11" s="318">
        <f>data!$F$198</f>
        <v>1465.5</v>
      </c>
      <c r="K11" s="312"/>
    </row>
    <row r="12" spans="6:11" ht="18" customHeight="1" thickBot="1">
      <c r="F12" s="314"/>
      <c r="G12" s="331"/>
      <c r="H12" s="317"/>
      <c r="I12" s="332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 dxfId="0">
      <iconSet iconSet="3Arrows">
        <cfvo type="percent" val="0"/>
        <cfvo type="num" val="0"/>
        <cfvo type="num" val="0.001"/>
      </iconSet>
    </cfRule>
    <cfRule type="iconSet" priority="31" dxfId="0">
      <iconSet iconSet="3TrafficLights1" showValue="0">
        <cfvo type="percent" val="0"/>
        <cfvo type="num" val="0.9"/>
        <cfvo type="num" val="0.95"/>
      </iconSet>
    </cfRule>
  </conditionalFormatting>
  <conditionalFormatting sqref="I5">
    <cfRule type="iconSet" priority="30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 dxfId="0">
      <iconSet iconSet="3TrafficLights1">
        <cfvo type="percent" val="0"/>
        <cfvo type="percent" val="33"/>
        <cfvo type="percent" val="67"/>
      </iconSet>
    </cfRule>
    <cfRule type="iconSet" priority="33" dxfId="0">
      <iconSet iconSet="4Arrows">
        <cfvo type="percent" val="0"/>
        <cfvo type="percent" val="25"/>
        <cfvo type="percent" val="50"/>
        <cfvo type="percentile" val="75"/>
      </iconSet>
    </cfRule>
    <cfRule type="iconSet" priority="3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5 K7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{b93ab2f5-f7fd-4e9c-9591-c85a3903fbdc}</x14:id>
        </ext>
      </extLst>
    </cfRule>
  </conditionalFormatting>
  <conditionalFormatting sqref="K9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{4130a385-b182-4bff-abf0-00cbc5ff8657}</x14:id>
        </ext>
      </extLst>
    </cfRule>
  </conditionalFormatting>
  <conditionalFormatting sqref="K11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{35435045-2d26-4bad-ab00-4d6a1c2f5cc0}</x14:id>
        </ext>
      </extLst>
    </cfRule>
  </conditionalFormatting>
  <conditionalFormatting sqref="I7">
    <cfRule type="iconSet" priority="17" dxfId="0">
      <iconSet iconSet="3Arrows">
        <cfvo type="percent" val="0"/>
        <cfvo type="num" val="-0.01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7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 dxfId="0">
      <iconSet iconSet="3Arrows">
        <cfvo type="percent" val="0"/>
        <cfvo type="num" val="0"/>
        <cfvo type="num" val="0.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 dxfId="0">
      <iconSet iconSet="3Arrows">
        <cfvo type="percent" val="0"/>
        <cfvo type="percent" val="0.1"/>
        <cfvo type="percent" val="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ab2f5-f7fd-4e9c-9591-c85a3903fb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4130a385-b182-4bff-abf0-00cbc5ff86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5435045-2d26-4bad-ab00-4d6a1c2f5c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C10" sqref="C10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42187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CONCATENATE("LPDAAC Summary for ",Summary_data!T1)</f>
        <v>LPDAAC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CONCATENATE(data!$G$2," Distribution and User Trends ",Summary_data!S1)</f>
        <v>LP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Summary_data!$C$9</f>
        <v>LP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Summary_data!$D$9</f>
        <v>629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Summary_data!G$9</f>
        <v>460970</v>
      </c>
      <c r="F5" s="308" t="s">
        <v>75</v>
      </c>
      <c r="G5" s="328">
        <f>data!$G$15</f>
        <v>249.383788</v>
      </c>
      <c r="H5" s="294"/>
      <c r="I5" s="289">
        <f>(data!$G$15-data!$G$17)/data!$G$17</f>
        <v>0.1978885414450051</v>
      </c>
      <c r="J5" s="296">
        <f>data!$G$16</f>
        <v>20.781982333333335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Summary_data!H$9</f>
        <v>209718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CONCATENATE(FIXED(1024*Summary_data!$K$9,1)," GB/day")</f>
        <v>1,422.6 GB/day</v>
      </c>
      <c r="F7" s="306" t="s">
        <v>69</v>
      </c>
      <c r="G7" s="326">
        <f>data!$G$67</f>
        <v>4591.978349684738</v>
      </c>
      <c r="H7" s="295"/>
      <c r="I7" s="289">
        <f>(data!$G$67-data!$G$69)/data!$G$69</f>
        <v>0.07903782426779385</v>
      </c>
      <c r="J7" s="297">
        <f>data!$G$68</f>
        <v>382.66486247372814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CONCATENATE(FIXED(Summary_data!$L$9,1)," TB")</f>
        <v>3,005.6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CONCATENATE(FIXED(Summary_data!$O$9,1)," M")</f>
        <v>249.4 M</v>
      </c>
      <c r="F9" s="306" t="s">
        <v>65</v>
      </c>
      <c r="G9" s="315">
        <f>data!$G$120</f>
        <v>353068</v>
      </c>
      <c r="H9" s="295"/>
      <c r="I9" s="289">
        <f>(data!$G$120-data!$G$121)/data!$G$121</f>
        <v>1.5136372373826186</v>
      </c>
      <c r="J9" s="318">
        <f>data!$G$119</f>
        <v>37475.833333333336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1" t="str">
        <f>CONCATENATE(FIXED(1024*Summary_data!$Q$9,1)," GB/day")</f>
        <v>12,882.7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data!$G$199</f>
        <v>153371</v>
      </c>
      <c r="H11" s="295"/>
      <c r="I11" s="289">
        <f>(data!$G$199-data!$G$200)/data!$G$200</f>
        <v>0.08762959706128469</v>
      </c>
      <c r="J11" s="318">
        <f>data!$G$198</f>
        <v>13488.916666666666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{2a25b392-4173-4fad-b21c-ad44580eaa78}</x14:id>
        </ext>
      </extLst>
    </cfRule>
  </conditionalFormatting>
  <conditionalFormatting sqref="K9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{12a495da-21e4-4ff2-b91a-671770daa993}</x14:id>
        </ext>
      </extLst>
    </cfRule>
  </conditionalFormatting>
  <conditionalFormatting sqref="K11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{ccf849ed-8cfd-41f3-9149-de4fa88418a5}</x14:id>
        </ext>
      </extLst>
    </cfRule>
  </conditionalFormatting>
  <conditionalFormatting sqref="I9">
    <cfRule type="iconSet" priority="17" dxfId="0">
      <iconSet iconSet="3Arrows">
        <cfvo type="percent" val="0"/>
        <cfvo type="num" val="0"/>
        <cfvo type="num" val="0.01"/>
      </iconSet>
    </cfRule>
    <cfRule type="iconSet" priority="20" dxfId="0">
      <iconSet iconSet="3TrafficLights1" showValue="0">
        <cfvo type="percent" val="0"/>
        <cfvo type="num" val="0.9"/>
        <cfvo type="num" val="0.95"/>
      </iconSet>
    </cfRule>
  </conditionalFormatting>
  <conditionalFormatting sqref="I9">
    <cfRule type="iconSet" priority="19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  <cfRule type="iconSet" priority="22" dxfId="0">
      <iconSet iconSet="4Arrows">
        <cfvo type="percent" val="0"/>
        <cfvo type="percent" val="25"/>
        <cfvo type="percent" val="50"/>
        <cfvo type="percentile" val="75"/>
      </iconSet>
    </cfRule>
    <cfRule type="iconSet" priority="2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 dxfId="0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8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9" dxfId="0">
      <iconSet iconSet="3Arrows">
        <cfvo type="percent" val="0"/>
        <cfvo type="num" val="0"/>
        <cfvo type="num" val="0.01"/>
      </iconSet>
    </cfRule>
    <cfRule type="iconSet" priority="12" dxfId="0">
      <iconSet iconSet="3TrafficLights1" showValue="0">
        <cfvo type="percent" val="0"/>
        <cfvo type="num" val="0.9"/>
        <cfvo type="num" val="0.95"/>
      </iconSet>
    </cfRule>
  </conditionalFormatting>
  <conditionalFormatting sqref="I11">
    <cfRule type="iconSet" priority="1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 dxfId="0">
      <iconSet iconSet="3TrafficLights1">
        <cfvo type="percent" val="0"/>
        <cfvo type="percent" val="33"/>
        <cfvo type="percent" val="67"/>
      </iconSet>
    </cfRule>
    <cfRule type="iconSet" priority="14" dxfId="0">
      <iconSet iconSet="4Arrows">
        <cfvo type="percent" val="0"/>
        <cfvo type="percent" val="25"/>
        <cfvo type="percent" val="50"/>
        <cfvo type="percentile" val="75"/>
      </iconSet>
    </cfRule>
    <cfRule type="iconSet" priority="1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25b392-4173-4fad-b21c-ad44580eaa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12a495da-21e4-4ff2-b91a-671770daa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ccf849ed-8cfd-41f3-9149-de4fa88418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="90" zoomScaleNormal="90" zoomScalePageLayoutView="90" workbookViewId="0" topLeftCell="A1">
      <selection activeCell="B1" sqref="B1:K1"/>
    </sheetView>
  </sheetViews>
  <sheetFormatPr defaultColWidth="11.421875" defaultRowHeight="12.75"/>
  <cols>
    <col min="1" max="1" width="7.140625" style="0" customWidth="1"/>
    <col min="2" max="2" width="51.7109375" style="0" customWidth="1"/>
    <col min="3" max="3" width="20.7109375" style="0" customWidth="1"/>
    <col min="4" max="4" width="20.00390625" style="0" customWidth="1"/>
    <col min="5" max="5" width="3.421875" style="0" customWidth="1"/>
    <col min="6" max="6" width="15.140625" style="0" customWidth="1"/>
    <col min="7" max="7" width="13.00390625" style="0" customWidth="1"/>
    <col min="8" max="8" width="1.7109375" style="0" customWidth="1"/>
    <col min="9" max="9" width="14.421875" style="0" customWidth="1"/>
    <col min="10" max="10" width="15.00390625" style="0" customWidth="1"/>
    <col min="11" max="11" width="29.421875" style="0" customWidth="1"/>
    <col min="12" max="12" width="19.7109375" style="0" customWidth="1"/>
    <col min="13" max="13" width="22.140625" style="0" customWidth="1"/>
  </cols>
  <sheetData>
    <row r="1" spans="1:11" ht="51.75" customHeight="1" thickBot="1">
      <c r="A1" s="7"/>
      <c r="B1" s="311" t="str">
        <f>CONCATENATE("LAADS DAAC Summary for ",Summary_data!T1)</f>
        <v>LAADS DAAC Summary for FY 2018</v>
      </c>
      <c r="C1" s="311"/>
      <c r="D1" s="311"/>
      <c r="E1" s="311"/>
      <c r="F1" s="311"/>
      <c r="G1" s="311"/>
      <c r="H1" s="311"/>
      <c r="I1" s="311"/>
      <c r="J1" s="311"/>
      <c r="K1" s="311"/>
    </row>
    <row r="2" spans="2:11" ht="24.75" customHeight="1" thickBot="1">
      <c r="B2" s="291" t="str">
        <f>Summary_data!S2</f>
        <v>FY2018 Metrics (Oct 2017 to Sep 2018)</v>
      </c>
      <c r="C2" s="292"/>
      <c r="D2" s="293"/>
      <c r="F2" s="298" t="str">
        <f>CONCATENATE(data!$H$2," Distribution and User Trends ",Summary_data!S1)</f>
        <v>LAADS DAAC Distribution and User Trends (Oct 2017 to Sep 2018)</v>
      </c>
      <c r="G2" s="299"/>
      <c r="H2" s="299"/>
      <c r="I2" s="300"/>
      <c r="J2" s="300"/>
      <c r="K2" s="301"/>
    </row>
    <row r="3" spans="2:11" ht="18" customHeight="1" thickBot="1">
      <c r="B3" s="43" t="s">
        <v>71</v>
      </c>
      <c r="C3" s="43" t="s">
        <v>70</v>
      </c>
      <c r="D3" s="43" t="str">
        <f>Summary_data!$C$10</f>
        <v>LAADS DAAC</v>
      </c>
      <c r="F3" s="302" t="s">
        <v>71</v>
      </c>
      <c r="G3" s="44" t="s">
        <v>15</v>
      </c>
      <c r="H3" s="45"/>
      <c r="I3" s="46" t="s">
        <v>32</v>
      </c>
      <c r="J3" s="46" t="s">
        <v>39</v>
      </c>
      <c r="K3" s="47" t="s">
        <v>33</v>
      </c>
    </row>
    <row r="4" spans="2:11" ht="18" customHeight="1" thickBot="1">
      <c r="B4" s="34" t="s">
        <v>0</v>
      </c>
      <c r="C4" s="68">
        <f>Summary_data!T13</f>
        <v>9855</v>
      </c>
      <c r="D4" s="70">
        <f>Summary_data!$D$10</f>
        <v>1359</v>
      </c>
      <c r="F4" s="303"/>
      <c r="G4" s="48" t="str">
        <f>Summary_data!X2</f>
        <v>FY2018</v>
      </c>
      <c r="H4" s="49"/>
      <c r="I4" s="50" t="str">
        <f>Summary_data!Y2</f>
        <v>FY2017</v>
      </c>
      <c r="J4" s="49" t="s">
        <v>34</v>
      </c>
      <c r="K4" s="51" t="s">
        <v>35</v>
      </c>
    </row>
    <row r="5" spans="2:11" ht="18" customHeight="1" thickBot="1">
      <c r="B5" s="35" t="s">
        <v>1</v>
      </c>
      <c r="C5" s="68">
        <f>Summary_data!T14</f>
        <v>4126882</v>
      </c>
      <c r="D5" s="71">
        <f>Summary_data!G$10</f>
        <v>1179590</v>
      </c>
      <c r="F5" s="308" t="s">
        <v>75</v>
      </c>
      <c r="G5" s="328">
        <f>data!$H$15</f>
        <v>239.952279</v>
      </c>
      <c r="H5" s="294"/>
      <c r="I5" s="289">
        <f>(data!$H$15-data!$H$17)/data!$H$17</f>
        <v>1.226689262530305</v>
      </c>
      <c r="J5" s="296">
        <f>data!$H$16</f>
        <v>19.99602325</v>
      </c>
      <c r="K5" s="321"/>
    </row>
    <row r="6" spans="2:11" ht="18" customHeight="1" thickBot="1">
      <c r="B6" s="35" t="s">
        <v>2</v>
      </c>
      <c r="C6" s="68">
        <f>Summary_data!T15</f>
        <v>3055959</v>
      </c>
      <c r="D6" s="71">
        <f>Summary_data!H$10</f>
        <v>217721</v>
      </c>
      <c r="F6" s="307"/>
      <c r="G6" s="329"/>
      <c r="H6" s="295"/>
      <c r="I6" s="290"/>
      <c r="J6" s="297"/>
      <c r="K6" s="312"/>
    </row>
    <row r="7" spans="2:11" ht="18" customHeight="1" thickBot="1">
      <c r="B7" s="35" t="s">
        <v>3</v>
      </c>
      <c r="C7" s="69" t="str">
        <f>Summary_data!T16</f>
        <v>23,224.6 GB/day</v>
      </c>
      <c r="D7" s="69" t="str">
        <f>CONCATENATE(FIXED(1024*Summary_data!$K$10,1)," GB/day")</f>
        <v>4,089.7 GB/day</v>
      </c>
      <c r="F7" s="306" t="s">
        <v>69</v>
      </c>
      <c r="G7" s="326">
        <f>data!$H$67</f>
        <v>3807.471474384752</v>
      </c>
      <c r="H7" s="295"/>
      <c r="I7" s="289">
        <f>(data!$H$67-data!$H$69)/data!$H$69</f>
        <v>0.7616404339464478</v>
      </c>
      <c r="J7" s="297">
        <f>data!$H$68</f>
        <v>317.2892895320627</v>
      </c>
      <c r="K7" s="312"/>
    </row>
    <row r="8" spans="2:11" ht="18" customHeight="1" thickBot="1">
      <c r="B8" s="35" t="s">
        <v>4</v>
      </c>
      <c r="C8" s="68" t="str">
        <f>Summary_data!T17</f>
        <v>28,022.3 TB</v>
      </c>
      <c r="D8" s="72" t="str">
        <f>CONCATENATE(FIXED(Summary_data!$L$10,1)," TB")</f>
        <v>5,239.0 TB</v>
      </c>
      <c r="F8" s="307"/>
      <c r="G8" s="327"/>
      <c r="H8" s="295"/>
      <c r="I8" s="290"/>
      <c r="J8" s="297"/>
      <c r="K8" s="312"/>
    </row>
    <row r="9" spans="2:11" ht="18" customHeight="1" thickBot="1">
      <c r="B9" s="35" t="s">
        <v>5</v>
      </c>
      <c r="C9" s="68" t="str">
        <f>Summary_data!T18</f>
        <v>1,611.4 M</v>
      </c>
      <c r="D9" s="71" t="str">
        <f>CONCATENATE(FIXED(Summary_data!$O$10,1)," M")</f>
        <v>240.0 M</v>
      </c>
      <c r="F9" s="306" t="s">
        <v>65</v>
      </c>
      <c r="G9" s="315">
        <f>data!$H$120</f>
        <v>1045681</v>
      </c>
      <c r="H9" s="295"/>
      <c r="I9" s="289">
        <f>(data!$H$120-data!$H$121)/data!$H$121</f>
        <v>3.6134138647583836</v>
      </c>
      <c r="J9" s="318">
        <f>data!$H$119</f>
        <v>91729.58333333333</v>
      </c>
      <c r="K9" s="312"/>
    </row>
    <row r="10" spans="2:11" ht="18" customHeight="1" thickBot="1">
      <c r="B10" s="36" t="s">
        <v>6</v>
      </c>
      <c r="C10" s="69" t="str">
        <f>Summary_data!T19</f>
        <v>68,386.2 GB/day</v>
      </c>
      <c r="D10" s="73" t="str">
        <f>CONCATENATE(FIXED(1024*Summary_data!$Q$10,1)," GB/day")</f>
        <v>10,681.8 GB/day</v>
      </c>
      <c r="F10" s="307"/>
      <c r="G10" s="330"/>
      <c r="H10" s="295"/>
      <c r="I10" s="290"/>
      <c r="J10" s="318"/>
      <c r="K10" s="312"/>
    </row>
    <row r="11" spans="5:11" ht="18" customHeight="1">
      <c r="E11" s="5"/>
      <c r="F11" s="306" t="s">
        <v>74</v>
      </c>
      <c r="G11" s="315">
        <f>data!$H$199</f>
        <v>136357</v>
      </c>
      <c r="H11" s="295"/>
      <c r="I11" s="289">
        <f>(data!$H$199-data!$H$200)/data!$H$200</f>
        <v>-0.19319203824671022</v>
      </c>
      <c r="J11" s="318">
        <f>data!$H$198</f>
        <v>12231.5</v>
      </c>
      <c r="K11" s="312"/>
    </row>
    <row r="12" spans="6:11" ht="18" customHeight="1" thickBot="1">
      <c r="F12" s="314"/>
      <c r="G12" s="331"/>
      <c r="H12" s="317"/>
      <c r="I12" s="290"/>
      <c r="J12" s="319"/>
      <c r="K12" s="313"/>
    </row>
    <row r="13" ht="18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8"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5 K7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{d260a486-5367-4b73-9c76-08194110ec9a}</x14:id>
        </ext>
      </extLst>
    </cfRule>
  </conditionalFormatting>
  <conditionalFormatting sqref="K9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{18b50cc4-efed-4a91-a09a-f9244884d24d}</x14:id>
        </ext>
      </extLst>
    </cfRule>
  </conditionalFormatting>
  <conditionalFormatting sqref="K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{359382cb-8349-4a5f-ab19-005a1aeea11a}</x14:id>
        </ext>
      </extLst>
    </cfRule>
  </conditionalFormatting>
  <conditionalFormatting sqref="I5 I7 I9 I11">
    <cfRule type="iconSet" priority="1" dxfId="0">
      <iconSet iconSet="3Arrows">
        <cfvo type="percent" val="0"/>
        <cfvo type="num" val="0"/>
        <cfvo type="num" val="0.01"/>
      </iconSet>
    </cfRule>
    <cfRule type="iconSet" priority="4" dxfId="0">
      <iconSet iconSet="3TrafficLights1" showValue="0">
        <cfvo type="percent" val="0"/>
        <cfvo type="num" val="0.9"/>
        <cfvo type="num" val="0.95"/>
      </iconSet>
    </cfRule>
  </conditionalFormatting>
  <conditionalFormatting sqref="I5 I7 I9 I11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 dxfId="0">
      <iconSet iconSet="3TrafficLights1">
        <cfvo type="percent" val="0"/>
        <cfvo type="percent" val="33"/>
        <cfvo type="percent" val="67"/>
      </iconSet>
    </cfRule>
    <cfRule type="iconSet" priority="6" dxfId="0">
      <iconSet iconSet="4Arrows">
        <cfvo type="percent" val="0"/>
        <cfvo type="percent" val="25"/>
        <cfvo type="percent" val="50"/>
        <cfvo type="percentile" val="75"/>
      </iconSet>
    </cfRule>
    <cfRule type="iconSet" priority="7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 dxfId="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rintOptions/>
  <pageMargins left="0.75" right="0.75" top="1" bottom="1" header="0.5" footer="0.5"/>
  <pageSetup horizontalDpi="600" verticalDpi="600" orientation="landscape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60a486-5367-4b73-9c76-08194110ec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 K7</xm:sqref>
        </x14:conditionalFormatting>
        <x14:conditionalFormatting xmlns:xm="http://schemas.microsoft.com/office/excel/2006/main">
          <x14:cfRule type="dataBar" id="{18b50cc4-efed-4a91-a09a-f9244884d2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</xm:sqref>
        </x14:conditionalFormatting>
        <x14:conditionalFormatting xmlns:xm="http://schemas.microsoft.com/office/excel/2006/main">
          <x14:cfRule type="dataBar" id="{359382cb-8349-4a5f-ab19-005a1aeea1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lwanchoo</dc:creator>
  <cp:keywords/>
  <dc:description/>
  <cp:lastModifiedBy>rebagwel</cp:lastModifiedBy>
  <cp:lastPrinted>2015-12-15T15:48:34Z</cp:lastPrinted>
  <dcterms:created xsi:type="dcterms:W3CDTF">2015-11-25T18:34:53Z</dcterms:created>
  <dcterms:modified xsi:type="dcterms:W3CDTF">2018-12-18T14:02:51Z</dcterms:modified>
  <cp:category/>
  <cp:version/>
  <cp:contentType/>
  <cp:contentStatus/>
</cp:coreProperties>
</file>